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M:\All Active Client Files\Q - Z\RMHP\Special Projects\Behavioral Health Integration\Financial Template v8 - SFY 22\RAE BH\LA Workpapers\"/>
    </mc:Choice>
  </mc:AlternateContent>
  <xr:revisionPtr revIDLastSave="0" documentId="13_ncr:1_{225B208A-94CE-40BC-8CF9-68B7F43D917A}" xr6:coauthVersionLast="47" xr6:coauthVersionMax="47" xr10:uidLastSave="{00000000-0000-0000-0000-000000000000}"/>
  <bookViews>
    <workbookView xWindow="-120" yWindow="-120" windowWidth="29040" windowHeight="15840"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1" l="1"/>
  <c r="E37" i="11" s="1"/>
  <c r="D51" i="11" s="1"/>
  <c r="D37" i="11"/>
  <c r="D50" i="11"/>
  <c r="O92" i="8"/>
  <c r="O78" i="8"/>
  <c r="O71" i="8"/>
  <c r="O64" i="8"/>
  <c r="O57" i="8"/>
  <c r="O50" i="8"/>
  <c r="O43" i="8"/>
  <c r="O36" i="8"/>
  <c r="O29" i="8"/>
  <c r="O22" i="8"/>
  <c r="O15" i="8"/>
  <c r="G92" i="8" l="1"/>
  <c r="G78" i="8"/>
  <c r="G71" i="8"/>
  <c r="G64" i="8"/>
  <c r="G57" i="8"/>
  <c r="G50" i="8"/>
  <c r="G43" i="8"/>
  <c r="G36" i="8"/>
  <c r="G29" i="8"/>
  <c r="G22" i="8"/>
  <c r="G15" i="8"/>
  <c r="G57" i="11"/>
  <c r="G50" i="11"/>
  <c r="M92" i="8" l="1"/>
  <c r="M85" i="8"/>
  <c r="M78" i="8"/>
  <c r="M71" i="8"/>
  <c r="M64" i="8"/>
  <c r="M57" i="8"/>
  <c r="M50" i="8"/>
  <c r="M43" i="8"/>
  <c r="M36" i="8"/>
  <c r="M29" i="8"/>
  <c r="M22" i="8"/>
  <c r="M15" i="8"/>
  <c r="P49" i="8"/>
  <c r="P42" i="8"/>
  <c r="P35" i="8"/>
  <c r="P28" i="8"/>
  <c r="P21" i="8"/>
  <c r="P14" i="8"/>
  <c r="D28" i="1" l="1"/>
  <c r="E25" i="1"/>
  <c r="F25" i="1"/>
  <c r="G25" i="1"/>
  <c r="H25" i="1"/>
  <c r="I25" i="1"/>
  <c r="J25" i="1"/>
  <c r="D25" i="1"/>
  <c r="P51" i="8"/>
  <c r="P44" i="8"/>
  <c r="P37" i="8"/>
  <c r="P30" i="8"/>
  <c r="P23" i="8"/>
  <c r="P16" i="8"/>
  <c r="E23" i="1" l="1"/>
  <c r="F23" i="1"/>
  <c r="G23" i="1"/>
  <c r="H23" i="1"/>
  <c r="I23" i="1"/>
  <c r="J23" i="1"/>
  <c r="E24" i="1"/>
  <c r="F24" i="1"/>
  <c r="G24" i="1"/>
  <c r="H24" i="1"/>
  <c r="I24" i="1"/>
  <c r="J24" i="1"/>
  <c r="D24" i="1"/>
  <c r="D23" i="1"/>
  <c r="J19" i="1"/>
  <c r="I19" i="1"/>
  <c r="H19" i="1"/>
  <c r="G19" i="1"/>
  <c r="F19" i="1"/>
  <c r="E19" i="1"/>
  <c r="D19" i="1"/>
  <c r="E20" i="1"/>
  <c r="F20" i="1"/>
  <c r="G20" i="1"/>
  <c r="H20" i="1"/>
  <c r="I20" i="1"/>
  <c r="J20" i="1"/>
  <c r="D20" i="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K24" i="1"/>
  <c r="K23" i="1"/>
  <c r="C3" i="4" l="1"/>
  <c r="C3" i="6"/>
  <c r="C3" i="11"/>
  <c r="C3" i="8"/>
  <c r="C3" i="1"/>
  <c r="C5" i="11"/>
  <c r="C5"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J13" i="1"/>
  <c r="I13" i="1"/>
  <c r="H13" i="1"/>
  <c r="G13" i="1"/>
  <c r="F13" i="1"/>
  <c r="E13" i="1"/>
  <c r="D13" i="1"/>
  <c r="E24" i="11" l="1"/>
  <c r="I16" i="11"/>
  <c r="I17" i="11"/>
  <c r="G19" i="11"/>
  <c r="D24" i="11"/>
  <c r="E19" i="11"/>
  <c r="I18" i="11"/>
  <c r="G24" i="11"/>
  <c r="H12" i="11"/>
  <c r="D19" i="11"/>
  <c r="D23" i="11"/>
  <c r="I9" i="11"/>
  <c r="I23" i="11" s="1"/>
  <c r="I11" i="11"/>
  <c r="I25" i="11" s="1"/>
  <c r="H19" i="11"/>
  <c r="I10" i="11"/>
  <c r="H24" i="11"/>
  <c r="G12" i="11"/>
  <c r="F19" i="11"/>
  <c r="F12" i="11"/>
  <c r="F24" i="11"/>
  <c r="D12" i="11"/>
  <c r="E12" i="11"/>
  <c r="K12" i="1"/>
  <c r="K11" i="1"/>
  <c r="K10" i="1"/>
  <c r="K9" i="1"/>
  <c r="K32" i="1"/>
  <c r="B43" i="11" s="1"/>
  <c r="K27" i="1"/>
  <c r="K26" i="1"/>
  <c r="K25" i="1"/>
  <c r="K21" i="1"/>
  <c r="K20" i="1"/>
  <c r="K19" i="1"/>
  <c r="K17" i="1"/>
  <c r="C5" i="6"/>
  <c r="C2" i="6"/>
  <c r="C5" i="1"/>
  <c r="H26" i="11" l="1"/>
  <c r="G26" i="11"/>
  <c r="F26" i="11"/>
  <c r="E26" i="11"/>
  <c r="I24" i="11"/>
  <c r="H18" i="1"/>
  <c r="H28" i="1" s="1"/>
  <c r="I18" i="1"/>
  <c r="I28" i="1" s="1"/>
  <c r="J18" i="1"/>
  <c r="J28" i="1" s="1"/>
  <c r="D18" i="1"/>
  <c r="E18" i="1"/>
  <c r="E28" i="1" s="1"/>
  <c r="F18" i="1"/>
  <c r="F28" i="1" s="1"/>
  <c r="G18" i="1"/>
  <c r="G28" i="1" s="1"/>
  <c r="I19" i="11"/>
  <c r="D26" i="11"/>
  <c r="I12" i="11"/>
  <c r="K13" i="1"/>
  <c r="D10" i="6" s="1"/>
  <c r="B9" i="4"/>
  <c r="C5" i="4"/>
  <c r="C2" i="4"/>
  <c r="K18" i="1" l="1"/>
  <c r="K28" i="1" s="1"/>
  <c r="D13" i="6" s="1"/>
  <c r="I26" i="11"/>
  <c r="G51" i="11" s="1"/>
  <c r="C2" i="1"/>
  <c r="D54" i="11" l="1"/>
  <c r="D56" i="11" l="1"/>
  <c r="G56" i="11" s="1"/>
  <c r="G54" i="11"/>
  <c r="D52" i="11"/>
  <c r="D55" i="11"/>
  <c r="D58" i="11" l="1"/>
  <c r="G55" i="11"/>
  <c r="D53" i="11"/>
  <c r="G53" i="11" s="1"/>
  <c r="G52" i="11"/>
  <c r="D11" i="6" l="1"/>
  <c r="D12" i="6" s="1"/>
  <c r="D14" i="6" s="1"/>
  <c r="D16" i="6" s="1"/>
  <c r="D17" i="6" s="1"/>
  <c r="G58" i="11"/>
</calcChain>
</file>

<file path=xl/sharedStrings.xml><?xml version="1.0" encoding="utf-8"?>
<sst xmlns="http://schemas.openxmlformats.org/spreadsheetml/2006/main" count="535" uniqueCount="182">
  <si>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</si>
  <si>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</si>
  <si>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</si>
  <si>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</si>
  <si>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</si>
  <si>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</si>
  <si>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</si>
  <si>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</si>
  <si>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</si>
  <si>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</si>
  <si>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</si>
  <si>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</si>
  <si>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</si>
  <si>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</si>
  <si>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</si>
  <si>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</si>
  <si>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</si>
  <si>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</si>
  <si>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</si>
  <si>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</si>
  <si>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</si>
  <si>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</si>
  <si>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</si>
  <si>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</si>
  <si>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</si>
  <si>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</si>
  <si>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</si>
  <si>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</si>
  <si>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</si>
  <si>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</si>
  <si>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</si>
  <si>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</si>
  <si>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</si>
  <si>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</si>
  <si>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</si>
  <si>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</si>
  <si>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</si>
  <si>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</si>
  <si>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</si>
  <si>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</si>
  <si>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</si>
  <si>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</si>
  <si>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</si>
  <si>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</si>
  <si>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</si>
  <si>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</si>
  <si>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</si>
  <si>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</si>
  <si>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</si>
  <si>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</si>
  <si>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</si>
  <si>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</si>
  <si>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</si>
  <si>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</si>
  <si>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</si>
  <si>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</si>
  <si>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</si>
  <si>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</si>
  <si>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</si>
  <si>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</si>
  <si>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</si>
  <si>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</si>
  <si>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</si>
  <si>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</si>
  <si>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</si>
  <si>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</si>
  <si>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</si>
  <si>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</si>
  <si>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</si>
  <si>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</si>
  <si>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</si>
  <si>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</si>
  <si>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</si>
  <si>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</si>
  <si>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</si>
  <si>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</si>
  <si>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</si>
  <si>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</si>
  <si>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</si>
  <si>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</si>
  <si>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</si>
  <si>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</si>
  <si>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</si>
  <si>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</si>
  <si>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</si>
  <si>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</si>
  <si>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</si>
  <si>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</si>
  <si>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</si>
  <si>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</si>
  <si>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</si>
  <si>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</si>
  <si>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</si>
  <si>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</si>
  <si>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</si>
  <si>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</si>
  <si>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</si>
  <si>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</si>
  <si>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</si>
  <si>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</si>
  <si>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</si>
  <si>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</si>
  <si>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</si>
  <si>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</si>
  <si>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</si>
  <si>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</si>
  <si>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</si>
  <si>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</si>
  <si>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</si>
  <si>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</si>
  <si>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</si>
  <si>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</si>
  <si>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</si>
  <si>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</si>
  <si>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</si>
  <si>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</si>
  <si>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</si>
  <si>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</si>
  <si>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</si>
  <si>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</si>
  <si>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</si>
  <si>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</si>
  <si>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</si>
  <si>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</si>
  <si>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</si>
  <si>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</si>
  <si>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</si>
  <si>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</si>
  <si>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</si>
  <si>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</si>
  <si>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</si>
  <si>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</si>
  <si>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</si>
  <si>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</si>
  <si>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</si>
  <si>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</si>
  <si>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</si>
  <si>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</si>
  <si>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</si>
  <si>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</si>
  <si>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</si>
  <si>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</si>
  <si>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</si>
  <si>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</si>
  <si>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</si>
  <si>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</si>
  <si>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</si>
  <si>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</si>
  <si>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</si>
  <si>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</si>
  <si>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</si>
  <si>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</si>
  <si>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</si>
  <si>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</si>
  <si>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</si>
  <si>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</si>
  <si>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</si>
  <si>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</si>
  <si>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</si>
  <si>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</si>
  <si>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</si>
  <si>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</si>
  <si>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</si>
  <si>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</si>
  <si>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</si>
  <si>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</si>
  <si>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</si>
  <si>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</si>
  <si>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</si>
  <si>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</si>
  <si>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</si>
  <si>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</si>
  <si>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</si>
  <si>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</si>
  <si>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</si>
  <si>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Rocky Mountain Health Plans</t>
  </si>
  <si>
    <t>The below are examples of specific RMHP costs associated with the activities or services designed to improve health care quality and increase the likelihood of desired health outcomes for our members, including but not limited to,
•	Outreach, assessment, and engagement activities with risk-stratified members (i.e., chronic conditions, transitions of care, community referral, etc.) to initiate ongoing care coordination to improve health outcomes and access local community and healthcare resources for both physical and behavioral health providers
•	Deploying health and wellness strategies and campaigns such as COVID and general vaccination outreach and education 
•	Developing and deploying interventions targeted to specific populations such as, special focus on supporting members with opioid usage, drug safety, and control of polypharmacy, supporting members with complex needs such as diabetes and COPD, supporting OB and pediatric members with special attention to high-risk pregnancies to avoid complications and adverse health outcomes for mom and baby, etc.
•	Comprehensive discharge planning in order to maintain and improve health status and prevent possible readmission
•	Provider specific programs: coaching providers on chronic condition management, effective case management and care coordination; development of provider materials, books, podcasts related to healthcare quality programs, training providers to provide better quality care for members
•	Provider incentives for participating in our community of advanced practices by fostering quality improvement at the practice level between physicians and patients with a focus on team-based, patient-centered primary care. Practices are engaged in a stair-step trajectory of advancing curriculums based on engaged leadership, data-driven improvement, empanelment, team-based care, patient-team partnership, population management, continuity of care, prompt access to care, comprehensiveness and care coordination, and integration are incorporated in program curriculum.  
•	Payment to our Health Information Exchange (HIE) vendor to securely share bi-directional real-time member data that enhances care coordination, reduces duplication of services, and identifies individuals at risk
•	Payment to our Health Effectiveness Data and Information Set (HEDIS) engine vendor which includes analytics and insights to improve operational transparency quality metrics, and outcome performance
•	Payments to our vendor that provides evidence-based care guidelines to help providers and health plans drive informed care to avoid underuse or overuse of medical care resources. The vendor enables efficient transitions between care settings using evidence-based best practices and care-planning tools. The tools help us ensure right levels of treatment, right length of hospital stay, and preventing any unnecessary hospital readmission</t>
  </si>
  <si>
    <t>Report 1 is based on our MRT reporting V2 as submitted on 1/4/23.</t>
  </si>
  <si>
    <t>See formulas.</t>
  </si>
  <si>
    <t>for SUD</t>
  </si>
  <si>
    <t>Original</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</si>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</sst>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1"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
      <i/>
      <sz val="9"/>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90">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3" fillId="7"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6" fillId="0" borderId="1" xfId="0" applyFont="1" applyBorder="1"/>
    <xf numFmtId="0" fontId="20" fillId="0" borderId="0" xfId="0" applyFont="1"/>
    <xf numFmtId="44" fontId="3" fillId="0" borderId="3" xfId="1" applyFont="1" applyFill="1" applyBorder="1"/>
    <xf numFmtId="44" fontId="4" fillId="9" borderId="1" xfId="1" applyFont="1" applyFill="1" applyBorder="1"/>
    <xf numFmtId="44" fontId="19" fillId="9" borderId="1" xfId="1" applyFont="1" applyFill="1" applyBorder="1"/>
    <xf numFmtId="0" fontId="5" fillId="2" borderId="9" xfId="0" applyFont="1" applyFill="1" applyBorder="1" applyAlignment="1">
      <alignment horizontal="left"/>
    </xf>
    <xf numFmtId="0" fontId="2" fillId="0" borderId="0" xfId="0" applyFont="1" applyAlignment="1">
      <alignment horizontal="left"/>
    </xf>
    <xf numFmtId="165" fontId="4" fillId="0" borderId="0" xfId="0" applyNumberFormat="1" applyFont="1"/>
    <xf numFmtId="44" fontId="4" fillId="0" borderId="0" xfId="0" applyNumberFormat="1" applyFont="1"/>
    <xf numFmtId="8" fontId="4" fillId="2" borderId="1" xfId="1" applyNumberFormat="1" applyFont="1" applyFill="1" applyBorder="1"/>
    <xf numFmtId="43" fontId="4" fillId="10" borderId="1" xfId="3" applyFont="1" applyFill="1" applyBorder="1"/>
    <xf numFmtId="44" fontId="4" fillId="10" borderId="1" xfId="1" applyFont="1" applyFill="1" applyBorder="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xf numFmtId="43" fontId="4" fillId="11" borderId="1" xfId="3" applyFont="1" applyFill="1" applyBorder="1"/>
    <xf numFmtId="43" fontId="4" fillId="11" borderId="3" xfId="3" applyFont="1" applyFill="1" applyBorder="1"/>
    <xf numFmtId="44" fontId="4" fillId="11" borderId="1" xfId="1" applyFont="1" applyFill="1" applyBorder="1"/>
    <xf numFmtId="44" fontId="4" fillId="11" borderId="3" xfId="1" applyFont="1" applyFill="1" applyBorder="1"/>
    <xf numFmtId="166" fontId="4" fillId="11" borderId="1" xfId="3" applyNumberFormat="1" applyFont="1" applyFill="1" applyBorder="1"/>
    <xf numFmtId="166" fontId="4" fillId="11" borderId="3" xfId="3" applyNumberFormat="1" applyFont="1" applyFill="1" applyBorder="1"/>
    <xf numFmtId="165" fontId="4" fillId="11" borderId="1" xfId="1" applyNumberFormat="1" applyFont="1" applyFill="1" applyBorder="1"/>
    <xf numFmtId="165" fontId="4" fillId="11" borderId="3" xfId="1" applyNumberFormat="1" applyFont="1" applyFill="1" applyBorder="1"/>
    <xf numFmtId="0" fontId="3" fillId="12" borderId="1"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51"/>
  <sheetViews>
    <sheetView tabSelected="1" zoomScaleNormal="100" workbookViewId="0">
      <selection activeCell="C11" sqref="C11"/>
    </sheetView>
  </sheetViews>
  <sheetFormatPr defaultColWidth="8.7109375" defaultRowHeight="15" customHeight="1" x14ac:dyDescent="0.25"/>
  <cols>
    <col min="2" max="2" width="36.28515625" customWidth="1"/>
    <col min="3" max="5" width="25.7109375" customWidth="1"/>
    <col min="6" max="6" width="28.28515625" customWidth="1"/>
    <col min="7" max="7" width="29.28515625" customWidth="1"/>
  </cols>
  <sheetData>
    <row r="2" spans="2:7" ht="18.75" x14ac:dyDescent="0.3">
      <c r="B2" s="15" t="s">
        <v>100</v>
      </c>
      <c r="C2" s="16"/>
      <c r="D2" s="16"/>
      <c r="E2" s="16"/>
      <c r="F2" s="16"/>
      <c r="G2" s="16"/>
    </row>
    <row r="3" spans="2:7" ht="15" customHeight="1" x14ac:dyDescent="0.25">
      <c r="B3" s="17"/>
      <c r="C3" s="16"/>
      <c r="D3" s="16"/>
      <c r="E3" s="16"/>
      <c r="F3" s="16"/>
      <c r="G3" s="16"/>
    </row>
    <row r="4" spans="2:7" ht="15" customHeight="1" thickBot="1" x14ac:dyDescent="0.3">
      <c r="B4" s="13" t="s">
        <v>29</v>
      </c>
      <c r="C4" s="16"/>
      <c r="D4" s="16"/>
      <c r="E4" s="16"/>
      <c r="F4" s="16"/>
      <c r="G4" s="16"/>
    </row>
    <row r="5" spans="2:7" ht="15" customHeight="1" x14ac:dyDescent="0.25">
      <c r="B5" s="18" t="s">
        <v>117</v>
      </c>
      <c r="C5" s="19"/>
      <c r="D5" s="19"/>
      <c r="E5" s="20"/>
      <c r="F5" s="16"/>
      <c r="G5" s="16"/>
    </row>
    <row r="6" spans="2:7" ht="15" customHeight="1" x14ac:dyDescent="0.25">
      <c r="B6" s="21" t="s">
        <v>99</v>
      </c>
      <c r="C6" s="16"/>
      <c r="D6" s="16"/>
      <c r="E6" s="22"/>
      <c r="F6" s="16"/>
      <c r="G6" s="16"/>
    </row>
    <row r="7" spans="2:7" ht="15" customHeight="1" x14ac:dyDescent="0.25">
      <c r="B7" s="21" t="s">
        <v>30</v>
      </c>
      <c r="C7" s="16"/>
      <c r="D7" s="16"/>
      <c r="E7" s="22"/>
      <c r="F7" s="16"/>
      <c r="G7" s="16"/>
    </row>
    <row r="8" spans="2:7" ht="15" customHeight="1" thickBot="1" x14ac:dyDescent="0.3">
      <c r="B8" s="39" t="s">
        <v>68</v>
      </c>
      <c r="C8" s="23"/>
      <c r="D8" s="23"/>
      <c r="E8" s="24"/>
      <c r="F8" s="16"/>
      <c r="G8" s="16"/>
    </row>
    <row r="9" spans="2:7" ht="15" customHeight="1" x14ac:dyDescent="0.25">
      <c r="B9" s="16"/>
      <c r="C9" s="16"/>
      <c r="D9" s="16"/>
      <c r="E9" s="16"/>
      <c r="F9" s="16"/>
      <c r="G9" s="16"/>
    </row>
    <row r="10" spans="2:7" ht="15" customHeight="1" thickBot="1" x14ac:dyDescent="0.3">
      <c r="B10" s="13" t="s">
        <v>31</v>
      </c>
      <c r="C10" s="16"/>
      <c r="D10" s="16"/>
      <c r="E10" s="16"/>
      <c r="F10" s="16"/>
      <c r="G10" s="16"/>
    </row>
    <row r="11" spans="2:7" ht="15" customHeight="1" x14ac:dyDescent="0.25">
      <c r="B11" s="53" t="s">
        <v>69</v>
      </c>
      <c r="C11" s="106" t="s">
        <v>175</v>
      </c>
      <c r="E11" s="16"/>
      <c r="F11" s="16"/>
      <c r="G11" s="16"/>
    </row>
    <row r="12" spans="2:7" ht="15" customHeight="1" x14ac:dyDescent="0.25">
      <c r="B12" s="25" t="s">
        <v>114</v>
      </c>
      <c r="C12" s="141">
        <v>1</v>
      </c>
      <c r="E12" s="16"/>
      <c r="F12" s="16"/>
      <c r="G12" s="16"/>
    </row>
    <row r="13" spans="2:7" ht="15" customHeight="1" x14ac:dyDescent="0.25">
      <c r="B13" s="105" t="s">
        <v>116</v>
      </c>
      <c r="C13" s="127" t="s">
        <v>131</v>
      </c>
      <c r="E13" s="16"/>
      <c r="F13" s="16"/>
      <c r="G13" s="16"/>
    </row>
    <row r="14" spans="2:7" ht="15" customHeight="1" x14ac:dyDescent="0.25">
      <c r="B14" s="105" t="s">
        <v>115</v>
      </c>
      <c r="C14" s="107" t="s">
        <v>131</v>
      </c>
      <c r="E14" s="16"/>
      <c r="F14" s="16"/>
      <c r="G14" s="16"/>
    </row>
    <row r="15" spans="2:7" ht="15" customHeight="1" thickBot="1" x14ac:dyDescent="0.3">
      <c r="B15" s="26" t="s">
        <v>32</v>
      </c>
      <c r="C15" s="108">
        <v>44834</v>
      </c>
      <c r="E15" s="16"/>
      <c r="F15" s="16"/>
      <c r="G15" s="16"/>
    </row>
    <row r="16" spans="2:7" ht="15" customHeight="1" x14ac:dyDescent="0.25">
      <c r="B16" s="16"/>
      <c r="C16" s="16"/>
      <c r="D16" s="16"/>
      <c r="E16" s="16"/>
      <c r="F16" s="16"/>
      <c r="G16" s="16"/>
    </row>
    <row r="17" spans="2:7" ht="15" customHeight="1" thickBot="1" x14ac:dyDescent="0.3">
      <c r="B17" s="13" t="s">
        <v>33</v>
      </c>
      <c r="C17" s="16"/>
      <c r="D17" s="16"/>
      <c r="E17" s="16"/>
      <c r="F17" s="16"/>
      <c r="G17" s="16"/>
    </row>
    <row r="18" spans="2:7" ht="15" customHeight="1" x14ac:dyDescent="0.25">
      <c r="B18" s="87" t="s">
        <v>94</v>
      </c>
      <c r="C18" s="19"/>
      <c r="D18" s="19"/>
      <c r="E18" s="19"/>
      <c r="F18" s="19"/>
      <c r="G18" s="20"/>
    </row>
    <row r="19" spans="2:7" ht="15" customHeight="1" x14ac:dyDescent="0.25">
      <c r="B19" s="28" t="s">
        <v>47</v>
      </c>
      <c r="C19" s="16"/>
      <c r="D19" s="16"/>
      <c r="E19" s="16"/>
      <c r="F19" s="16"/>
      <c r="G19" s="22"/>
    </row>
    <row r="20" spans="2:7" ht="15" customHeight="1" x14ac:dyDescent="0.25">
      <c r="B20" s="21" t="s">
        <v>102</v>
      </c>
      <c r="C20" s="16"/>
      <c r="D20" s="16"/>
      <c r="E20" s="16"/>
      <c r="F20" s="16"/>
      <c r="G20" s="22"/>
    </row>
    <row r="21" spans="2:7" ht="15" customHeight="1" x14ac:dyDescent="0.25">
      <c r="B21" s="109" t="s">
        <v>121</v>
      </c>
      <c r="C21" s="47"/>
      <c r="D21" s="47"/>
      <c r="E21" s="47"/>
      <c r="F21" s="47"/>
      <c r="G21" s="48"/>
    </row>
    <row r="22" spans="2:7" ht="15" customHeight="1" x14ac:dyDescent="0.25">
      <c r="B22" s="46" t="s">
        <v>134</v>
      </c>
      <c r="C22" s="47"/>
      <c r="D22" s="47"/>
      <c r="E22" s="47"/>
      <c r="F22" s="47"/>
      <c r="G22" s="48"/>
    </row>
    <row r="23" spans="2:7" ht="15" customHeight="1" x14ac:dyDescent="0.25">
      <c r="B23" s="109" t="s">
        <v>122</v>
      </c>
      <c r="C23" s="47"/>
      <c r="D23" s="47"/>
      <c r="E23" s="47"/>
      <c r="F23" s="47"/>
      <c r="G23" s="48"/>
    </row>
    <row r="24" spans="2:7" ht="15" customHeight="1" x14ac:dyDescent="0.25">
      <c r="B24" s="46" t="s">
        <v>104</v>
      </c>
      <c r="C24" s="47"/>
      <c r="D24" s="47"/>
      <c r="E24" s="47"/>
      <c r="F24" s="47"/>
      <c r="G24" s="48"/>
    </row>
    <row r="25" spans="2:7" ht="15" customHeight="1" x14ac:dyDescent="0.25">
      <c r="B25" s="28" t="s">
        <v>143</v>
      </c>
      <c r="C25" s="16"/>
      <c r="D25" s="16"/>
      <c r="E25" s="16"/>
      <c r="F25" s="16"/>
      <c r="G25" s="22"/>
    </row>
    <row r="26" spans="2:7" ht="15" customHeight="1" x14ac:dyDescent="0.25">
      <c r="B26" s="130" t="s">
        <v>161</v>
      </c>
      <c r="C26" s="16"/>
      <c r="D26" s="16"/>
      <c r="E26" s="16"/>
      <c r="F26" s="16"/>
      <c r="G26" s="22"/>
    </row>
    <row r="27" spans="2:7" ht="15" customHeight="1" x14ac:dyDescent="0.25">
      <c r="B27" s="130" t="s">
        <v>164</v>
      </c>
      <c r="C27" s="16"/>
      <c r="D27" s="16"/>
      <c r="E27" s="16"/>
      <c r="F27" s="16"/>
      <c r="G27" s="22"/>
    </row>
    <row r="28" spans="2:7" ht="15" customHeight="1" x14ac:dyDescent="0.25">
      <c r="B28" s="28" t="s">
        <v>48</v>
      </c>
      <c r="C28" s="16"/>
      <c r="D28" s="16"/>
      <c r="E28" s="16"/>
      <c r="F28" s="16"/>
      <c r="G28" s="22"/>
    </row>
    <row r="29" spans="2:7" ht="15" customHeight="1" x14ac:dyDescent="0.25">
      <c r="B29" s="28" t="s">
        <v>103</v>
      </c>
      <c r="C29" s="16"/>
      <c r="D29" s="16"/>
      <c r="E29" s="16"/>
      <c r="F29" s="16"/>
      <c r="G29" s="22"/>
    </row>
    <row r="30" spans="2:7" ht="15" customHeight="1" x14ac:dyDescent="0.25">
      <c r="B30" s="28" t="s">
        <v>50</v>
      </c>
      <c r="C30" s="16"/>
      <c r="D30" s="16"/>
      <c r="E30" s="16"/>
      <c r="F30" s="16"/>
      <c r="G30" s="22"/>
    </row>
    <row r="31" spans="2:7" ht="15" customHeight="1" x14ac:dyDescent="0.25">
      <c r="B31" s="38" t="s">
        <v>51</v>
      </c>
      <c r="C31" s="16"/>
      <c r="D31" s="16"/>
      <c r="E31" s="16"/>
      <c r="F31" s="16"/>
      <c r="G31" s="22"/>
    </row>
    <row r="32" spans="2:7" ht="15" customHeight="1" x14ac:dyDescent="0.25">
      <c r="B32" s="38"/>
      <c r="C32" s="16"/>
      <c r="D32" s="16"/>
      <c r="E32" s="16"/>
      <c r="F32" s="16"/>
      <c r="G32" s="22"/>
    </row>
    <row r="33" spans="2:7" ht="15" customHeight="1" x14ac:dyDescent="0.25">
      <c r="B33" s="88" t="s">
        <v>113</v>
      </c>
      <c r="C33" s="16"/>
      <c r="D33" s="16"/>
      <c r="E33" s="16"/>
      <c r="F33" s="16"/>
      <c r="G33" s="22"/>
    </row>
    <row r="34" spans="2:7" ht="15" customHeight="1" x14ac:dyDescent="0.25">
      <c r="B34" s="21" t="s">
        <v>132</v>
      </c>
      <c r="C34" s="16"/>
      <c r="D34" s="16"/>
      <c r="E34" s="16"/>
      <c r="F34" s="16"/>
      <c r="G34" s="22"/>
    </row>
    <row r="35" spans="2:7" ht="15" customHeight="1" x14ac:dyDescent="0.25">
      <c r="B35" s="21" t="s">
        <v>133</v>
      </c>
      <c r="C35" s="16"/>
      <c r="D35" s="16"/>
      <c r="E35" s="16"/>
      <c r="F35" s="16"/>
      <c r="G35" s="22"/>
    </row>
    <row r="36" spans="2:7" ht="15" customHeight="1" x14ac:dyDescent="0.25">
      <c r="B36" s="21" t="s">
        <v>118</v>
      </c>
      <c r="C36" s="16"/>
      <c r="D36" s="16"/>
      <c r="E36" s="16"/>
      <c r="F36" s="16"/>
      <c r="G36" s="22"/>
    </row>
    <row r="37" spans="2:7" ht="15" customHeight="1" x14ac:dyDescent="0.25">
      <c r="B37" s="38"/>
      <c r="C37" s="16"/>
      <c r="D37" s="16"/>
      <c r="E37" s="16"/>
      <c r="F37" s="16"/>
      <c r="G37" s="22"/>
    </row>
    <row r="38" spans="2:7" ht="15" customHeight="1" x14ac:dyDescent="0.25">
      <c r="B38" s="88" t="s">
        <v>95</v>
      </c>
      <c r="C38" s="16"/>
      <c r="D38" s="16"/>
      <c r="E38" s="16"/>
      <c r="F38" s="16"/>
      <c r="G38" s="22"/>
    </row>
    <row r="39" spans="2:7" ht="15" customHeight="1" x14ac:dyDescent="0.25">
      <c r="B39" s="21" t="s">
        <v>119</v>
      </c>
      <c r="C39" s="16"/>
      <c r="D39" s="16"/>
      <c r="E39" s="16"/>
      <c r="F39" s="16"/>
      <c r="G39" s="22"/>
    </row>
    <row r="40" spans="2:7" ht="15" customHeight="1" x14ac:dyDescent="0.25">
      <c r="B40" s="38"/>
      <c r="C40" s="16"/>
      <c r="D40" s="16"/>
      <c r="E40" s="16"/>
      <c r="F40" s="16"/>
      <c r="G40" s="22"/>
    </row>
    <row r="41" spans="2:7" ht="15" customHeight="1" x14ac:dyDescent="0.25">
      <c r="B41" s="88" t="s">
        <v>96</v>
      </c>
      <c r="C41" s="16"/>
      <c r="D41" s="16"/>
      <c r="E41" s="16"/>
      <c r="F41" s="16"/>
      <c r="G41" s="22"/>
    </row>
    <row r="42" spans="2:7" ht="15" customHeight="1" x14ac:dyDescent="0.25">
      <c r="B42" s="21" t="s">
        <v>120</v>
      </c>
      <c r="C42" s="16"/>
      <c r="D42" s="16"/>
      <c r="E42" s="16"/>
      <c r="F42" s="16"/>
      <c r="G42" s="22"/>
    </row>
    <row r="43" spans="2:7" ht="15" customHeight="1" x14ac:dyDescent="0.25">
      <c r="B43" s="38"/>
      <c r="C43" s="16"/>
      <c r="D43" s="16"/>
      <c r="E43" s="16"/>
      <c r="F43" s="16"/>
      <c r="G43" s="22"/>
    </row>
    <row r="44" spans="2:7" ht="15" customHeight="1" x14ac:dyDescent="0.25">
      <c r="B44" s="88" t="s">
        <v>97</v>
      </c>
      <c r="C44" s="16"/>
      <c r="D44" s="16"/>
      <c r="E44" s="16"/>
      <c r="F44" s="16"/>
      <c r="G44" s="22"/>
    </row>
    <row r="45" spans="2:7" ht="15" customHeight="1" x14ac:dyDescent="0.25">
      <c r="B45" s="21" t="s">
        <v>98</v>
      </c>
      <c r="C45" s="16"/>
      <c r="D45" s="16"/>
      <c r="E45" s="16"/>
      <c r="F45" s="16"/>
      <c r="G45" s="22"/>
    </row>
    <row r="46" spans="2:7" ht="15" customHeight="1" x14ac:dyDescent="0.25">
      <c r="B46" s="21"/>
      <c r="C46" s="16"/>
      <c r="D46" s="16"/>
      <c r="E46" s="16"/>
      <c r="F46" s="16"/>
      <c r="G46" s="22"/>
    </row>
    <row r="47" spans="2:7" ht="15" customHeight="1" x14ac:dyDescent="0.25">
      <c r="B47" s="88" t="s">
        <v>135</v>
      </c>
      <c r="C47" s="16"/>
      <c r="D47" s="16"/>
      <c r="E47" s="16"/>
      <c r="F47" s="16"/>
      <c r="G47" s="22"/>
    </row>
    <row r="48" spans="2:7" ht="15" customHeight="1" x14ac:dyDescent="0.25">
      <c r="B48" s="21" t="s">
        <v>136</v>
      </c>
      <c r="C48" s="16"/>
      <c r="D48" s="16"/>
      <c r="E48" s="16"/>
      <c r="F48" s="16"/>
      <c r="G48" s="22"/>
    </row>
    <row r="49" spans="2:7" ht="15" customHeight="1" x14ac:dyDescent="0.25">
      <c r="B49" s="28"/>
      <c r="C49" s="16"/>
      <c r="D49" s="16"/>
      <c r="E49" s="16"/>
      <c r="F49" s="16"/>
      <c r="G49" s="22"/>
    </row>
    <row r="50" spans="2:7" ht="15" customHeight="1" x14ac:dyDescent="0.25">
      <c r="B50" s="88" t="s">
        <v>101</v>
      </c>
      <c r="C50" s="16"/>
      <c r="D50" s="16"/>
      <c r="E50" s="16"/>
      <c r="F50" s="16"/>
      <c r="G50" s="22"/>
    </row>
    <row r="51" spans="2:7" ht="15" customHeight="1" thickBot="1" x14ac:dyDescent="0.3">
      <c r="B51" s="30" t="s">
        <v>34</v>
      </c>
      <c r="C51" s="23"/>
      <c r="D51" s="23"/>
      <c r="E51" s="23"/>
      <c r="F51" s="23"/>
      <c r="G51" s="24"/>
    </row>
  </sheetData>
  <protectedRanges>
    <protectedRange sqref="C11:E11" name="Range1"/>
  </protectedRanges>
  <pageMargins left="0.7" right="0.7" top="0.75" bottom="0.75" header="0.3" footer="0.3"/>
  <pageSetup scale="71"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1"/>
  <sheetViews>
    <sheetView zoomScaleNormal="100" zoomScaleSheetLayoutView="70" workbookViewId="0">
      <selection activeCell="D9" sqref="D9"/>
    </sheetView>
  </sheetViews>
  <sheetFormatPr defaultColWidth="8.7109375" defaultRowHeight="12.75" x14ac:dyDescent="0.2"/>
  <cols>
    <col min="1" max="1" width="2.28515625" style="8" customWidth="1"/>
    <col min="2" max="2" width="11" style="8" bestFit="1" customWidth="1"/>
    <col min="3" max="3" width="53.28515625" style="8" bestFit="1" customWidth="1"/>
    <col min="4" max="11" width="19.28515625" style="8" customWidth="1"/>
    <col min="12" max="12" width="2.28515625" style="8" customWidth="1"/>
    <col min="13" max="13" width="14.5703125" style="8" bestFit="1" customWidth="1"/>
    <col min="14" max="14" width="11.5703125" style="8" bestFit="1" customWidth="1"/>
    <col min="15" max="16384" width="8.7109375" style="8"/>
  </cols>
  <sheetData>
    <row r="2" spans="2:11" x14ac:dyDescent="0.2">
      <c r="B2" s="12" t="s">
        <v>105</v>
      </c>
      <c r="C2" s="13" t="str">
        <f>Overview!$C$11</f>
        <v>Rocky Mountain Health Plans</v>
      </c>
    </row>
    <row r="3" spans="2:11" x14ac:dyDescent="0.2">
      <c r="B3" s="12" t="s">
        <v>114</v>
      </c>
      <c r="C3" s="142">
        <f>Overview!C12</f>
        <v>1</v>
      </c>
    </row>
    <row r="4" spans="2:11" x14ac:dyDescent="0.2">
      <c r="B4" s="12" t="s">
        <v>27</v>
      </c>
      <c r="C4" s="14" t="s">
        <v>75</v>
      </c>
    </row>
    <row r="5" spans="2:11" x14ac:dyDescent="0.2">
      <c r="B5" s="12" t="s">
        <v>28</v>
      </c>
      <c r="C5" s="13" t="str">
        <f>Overview!$C$14</f>
        <v>July 1, 2021 - June 30, 2022</v>
      </c>
    </row>
    <row r="6" spans="2:11" x14ac:dyDescent="0.2">
      <c r="B6" s="12"/>
      <c r="C6" s="13"/>
    </row>
    <row r="7" spans="2:11" x14ac:dyDescent="0.2">
      <c r="C7" s="51"/>
      <c r="D7" s="55" t="s">
        <v>61</v>
      </c>
      <c r="E7" s="56"/>
      <c r="F7" s="56"/>
      <c r="G7" s="56"/>
      <c r="H7" s="56"/>
      <c r="I7" s="56"/>
      <c r="J7" s="57"/>
      <c r="K7" s="50"/>
    </row>
    <row r="8" spans="2:11" x14ac:dyDescent="0.2">
      <c r="B8" s="34" t="s">
        <v>9</v>
      </c>
      <c r="C8" s="52" t="s">
        <v>7</v>
      </c>
      <c r="D8" s="52" t="s">
        <v>55</v>
      </c>
      <c r="E8" s="52" t="s">
        <v>56</v>
      </c>
      <c r="F8" s="52" t="s">
        <v>37</v>
      </c>
      <c r="G8" s="52" t="s">
        <v>57</v>
      </c>
      <c r="H8" s="52" t="s">
        <v>58</v>
      </c>
      <c r="I8" s="52" t="s">
        <v>59</v>
      </c>
      <c r="J8" s="52" t="s">
        <v>60</v>
      </c>
      <c r="K8" s="34" t="s">
        <v>38</v>
      </c>
    </row>
    <row r="9" spans="2:11" x14ac:dyDescent="0.2">
      <c r="B9" s="9" t="s">
        <v>10</v>
      </c>
      <c r="C9" s="9" t="s">
        <v>8</v>
      </c>
      <c r="D9" s="31">
        <v>22950081.260000002</v>
      </c>
      <c r="E9" s="31">
        <v>27731776.75</v>
      </c>
      <c r="F9" s="31">
        <v>72533461.049999997</v>
      </c>
      <c r="G9" s="31">
        <v>6320839.2400000002</v>
      </c>
      <c r="H9" s="31">
        <v>4066755.84</v>
      </c>
      <c r="I9" s="31">
        <v>2192466.38</v>
      </c>
      <c r="J9" s="31">
        <v>21481882.380000003</v>
      </c>
      <c r="K9" s="32">
        <f t="shared" ref="K9:K12" si="0">SUM(D9:J9)</f>
        <v>157277262.90000001</v>
      </c>
    </row>
    <row r="10" spans="2:11" x14ac:dyDescent="0.2">
      <c r="B10" s="9" t="s">
        <v>11</v>
      </c>
      <c r="C10" s="9" t="s">
        <v>52</v>
      </c>
      <c r="D10" s="31">
        <v>0</v>
      </c>
      <c r="E10" s="31">
        <v>0</v>
      </c>
      <c r="F10" s="31">
        <v>0</v>
      </c>
      <c r="G10" s="31">
        <v>0</v>
      </c>
      <c r="H10" s="31">
        <v>0</v>
      </c>
      <c r="I10" s="31">
        <v>0</v>
      </c>
      <c r="J10" s="31">
        <v>0</v>
      </c>
      <c r="K10" s="32">
        <f t="shared" si="0"/>
        <v>0</v>
      </c>
    </row>
    <row r="11" spans="2:11" x14ac:dyDescent="0.2">
      <c r="B11" s="9" t="s">
        <v>12</v>
      </c>
      <c r="C11" s="9" t="s">
        <v>35</v>
      </c>
      <c r="D11" s="31">
        <v>0</v>
      </c>
      <c r="E11" s="31">
        <v>0</v>
      </c>
      <c r="F11" s="31">
        <v>0</v>
      </c>
      <c r="G11" s="31">
        <v>0</v>
      </c>
      <c r="H11" s="31">
        <v>0</v>
      </c>
      <c r="I11" s="31">
        <v>0</v>
      </c>
      <c r="J11" s="31">
        <v>0</v>
      </c>
      <c r="K11" s="32">
        <f t="shared" si="0"/>
        <v>0</v>
      </c>
    </row>
    <row r="12" spans="2:11" ht="13.5" thickBot="1" x14ac:dyDescent="0.25">
      <c r="B12" s="11" t="s">
        <v>13</v>
      </c>
      <c r="C12" s="11" t="s">
        <v>26</v>
      </c>
      <c r="D12" s="64">
        <v>0</v>
      </c>
      <c r="E12" s="64">
        <v>0</v>
      </c>
      <c r="F12" s="64">
        <v>0</v>
      </c>
      <c r="G12" s="64">
        <v>0</v>
      </c>
      <c r="H12" s="64">
        <v>0</v>
      </c>
      <c r="I12" s="64">
        <v>0</v>
      </c>
      <c r="J12" s="64">
        <v>0</v>
      </c>
      <c r="K12" s="65">
        <f t="shared" si="0"/>
        <v>0</v>
      </c>
    </row>
    <row r="13" spans="2:11" ht="13.5" thickTop="1" x14ac:dyDescent="0.2">
      <c r="B13" s="62" t="s">
        <v>14</v>
      </c>
      <c r="C13" s="66" t="s">
        <v>72</v>
      </c>
      <c r="D13" s="63">
        <f>D9-D10-D11+D12</f>
        <v>22950081.260000002</v>
      </c>
      <c r="E13" s="63">
        <f t="shared" ref="E13:K13" si="1">E9-E10-E11+E12</f>
        <v>27731776.75</v>
      </c>
      <c r="F13" s="63">
        <f t="shared" si="1"/>
        <v>72533461.049999997</v>
      </c>
      <c r="G13" s="63">
        <f t="shared" si="1"/>
        <v>6320839.2400000002</v>
      </c>
      <c r="H13" s="63">
        <f t="shared" si="1"/>
        <v>4066755.84</v>
      </c>
      <c r="I13" s="63">
        <f t="shared" si="1"/>
        <v>2192466.38</v>
      </c>
      <c r="J13" s="63">
        <f t="shared" si="1"/>
        <v>21481882.380000003</v>
      </c>
      <c r="K13" s="63">
        <f t="shared" si="1"/>
        <v>157277262.90000001</v>
      </c>
    </row>
    <row r="14" spans="2:11" ht="15" x14ac:dyDescent="0.25">
      <c r="B14"/>
      <c r="C14"/>
      <c r="D14"/>
      <c r="E14"/>
      <c r="F14"/>
      <c r="G14"/>
      <c r="H14"/>
      <c r="I14"/>
      <c r="J14"/>
      <c r="K14"/>
    </row>
    <row r="15" spans="2:11" x14ac:dyDescent="0.2">
      <c r="D15" s="55" t="s">
        <v>61</v>
      </c>
      <c r="E15" s="56"/>
      <c r="F15" s="56"/>
      <c r="G15" s="56"/>
      <c r="H15" s="56"/>
      <c r="I15" s="56"/>
      <c r="J15" s="57"/>
      <c r="K15" s="50"/>
    </row>
    <row r="16" spans="2:11" x14ac:dyDescent="0.2">
      <c r="B16" s="34" t="s">
        <v>9</v>
      </c>
      <c r="C16" s="54" t="s">
        <v>71</v>
      </c>
      <c r="D16" s="52" t="s">
        <v>55</v>
      </c>
      <c r="E16" s="52" t="s">
        <v>56</v>
      </c>
      <c r="F16" s="52" t="s">
        <v>37</v>
      </c>
      <c r="G16" s="52" t="s">
        <v>57</v>
      </c>
      <c r="H16" s="52" t="s">
        <v>58</v>
      </c>
      <c r="I16" s="52" t="s">
        <v>59</v>
      </c>
      <c r="J16" s="52" t="s">
        <v>60</v>
      </c>
      <c r="K16" s="34" t="s">
        <v>38</v>
      </c>
    </row>
    <row r="17" spans="2:14" x14ac:dyDescent="0.2">
      <c r="B17" s="2" t="s">
        <v>15</v>
      </c>
      <c r="C17" s="2" t="s">
        <v>4</v>
      </c>
      <c r="D17" s="32">
        <v>7923622.1800000006</v>
      </c>
      <c r="E17" s="32">
        <v>8817561.9600000009</v>
      </c>
      <c r="F17" s="32">
        <v>24997991.870000001</v>
      </c>
      <c r="G17" s="32">
        <v>2369113.1</v>
      </c>
      <c r="H17" s="32">
        <v>1908705.43</v>
      </c>
      <c r="I17" s="32">
        <v>288912.68</v>
      </c>
      <c r="J17" s="32">
        <v>4315763.7</v>
      </c>
      <c r="K17" s="32">
        <f>SUM(D17:J17)</f>
        <v>50621670.920000009</v>
      </c>
    </row>
    <row r="18" spans="2:14" x14ac:dyDescent="0.2">
      <c r="B18" s="2" t="s">
        <v>16</v>
      </c>
      <c r="C18" s="2" t="s">
        <v>2</v>
      </c>
      <c r="D18" s="32">
        <f>1548216.6*(D17/$K17)</f>
        <v>242336.59553812662</v>
      </c>
      <c r="E18" s="32">
        <f t="shared" ref="E18:J18" si="2">1548216.6*(E17/$K17)</f>
        <v>269676.91010387009</v>
      </c>
      <c r="F18" s="32">
        <f t="shared" si="2"/>
        <v>764540.27052884642</v>
      </c>
      <c r="G18" s="32">
        <f t="shared" si="2"/>
        <v>72457.114947746959</v>
      </c>
      <c r="H18" s="32">
        <f t="shared" si="2"/>
        <v>58375.97569440597</v>
      </c>
      <c r="I18" s="32">
        <f t="shared" si="2"/>
        <v>8836.1249045567438</v>
      </c>
      <c r="J18" s="32">
        <f t="shared" si="2"/>
        <v>131993.60828244701</v>
      </c>
      <c r="K18" s="32">
        <f t="shared" ref="K18:K27" si="3">SUM(D18:J18)</f>
        <v>1548216.6</v>
      </c>
    </row>
    <row r="19" spans="2:14" x14ac:dyDescent="0.2">
      <c r="B19" s="2" t="s">
        <v>17</v>
      </c>
      <c r="C19" s="2" t="s">
        <v>36</v>
      </c>
      <c r="D19" s="32">
        <f>7266928.55+((930115+271706+199860-4268.38)*D13/$K13)</f>
        <v>7470840.625982278</v>
      </c>
      <c r="E19" s="32">
        <f>12680519.29+((930115+271706+199860-4268.38)*E13/$K13)</f>
        <v>12926916.856252868</v>
      </c>
      <c r="F19" s="32">
        <f>28264541.09+((930115+271706+199860-4268.38)*F13/$K13)</f>
        <v>28909002.800323598</v>
      </c>
      <c r="G19" s="32">
        <f>2316934.46+((930115+271706+199860-4268.38)*G13/$K13)</f>
        <v>2373095.2829956501</v>
      </c>
      <c r="H19" s="32">
        <f>1489670.11++((930115+271706+199860-4268.38)*H13/$K13)</f>
        <v>1525803.3426649659</v>
      </c>
      <c r="I19" s="32">
        <f>1474722.71++((930115+271706+199860-4268.38)*I13/$K13)</f>
        <v>1494202.8314863825</v>
      </c>
      <c r="J19" s="32">
        <f>13084592.02+((930115+271706+199860-4268.38)*J13/$K13)</f>
        <v>13275459.110294254</v>
      </c>
      <c r="K19" s="32">
        <f t="shared" si="3"/>
        <v>67975320.849999994</v>
      </c>
      <c r="N19" s="143"/>
    </row>
    <row r="20" spans="2:14" x14ac:dyDescent="0.2">
      <c r="B20" s="2" t="s">
        <v>18</v>
      </c>
      <c r="C20" s="2" t="s">
        <v>0</v>
      </c>
      <c r="D20" s="32">
        <f>(593263+63700)*D13/$K13</f>
        <v>95864.805610203563</v>
      </c>
      <c r="E20" s="32">
        <f t="shared" ref="E20:J20" si="4">(593263+63700)*E13/$K13</f>
        <v>115838.4302541817</v>
      </c>
      <c r="F20" s="32">
        <f t="shared" si="4"/>
        <v>302979.5870881165</v>
      </c>
      <c r="G20" s="32">
        <f t="shared" si="4"/>
        <v>26402.783422473458</v>
      </c>
      <c r="H20" s="32">
        <f t="shared" si="4"/>
        <v>16987.249572194327</v>
      </c>
      <c r="I20" s="32">
        <f t="shared" si="4"/>
        <v>9158.1533391750036</v>
      </c>
      <c r="J20" s="32">
        <f t="shared" si="4"/>
        <v>89731.99071365541</v>
      </c>
      <c r="K20" s="32">
        <f t="shared" si="3"/>
        <v>656962.99999999988</v>
      </c>
    </row>
    <row r="21" spans="2:14" x14ac:dyDescent="0.2">
      <c r="B21" s="2" t="s">
        <v>20</v>
      </c>
      <c r="C21" s="44" t="s">
        <v>54</v>
      </c>
      <c r="D21" s="32">
        <v>0</v>
      </c>
      <c r="E21" s="32">
        <v>0</v>
      </c>
      <c r="F21" s="32">
        <v>0</v>
      </c>
      <c r="G21" s="32">
        <v>0</v>
      </c>
      <c r="H21" s="32">
        <v>0</v>
      </c>
      <c r="I21" s="32">
        <v>0</v>
      </c>
      <c r="J21" s="32">
        <v>0</v>
      </c>
      <c r="K21" s="32">
        <f t="shared" si="3"/>
        <v>0</v>
      </c>
    </row>
    <row r="22" spans="2:14" ht="15" x14ac:dyDescent="0.2">
      <c r="B22" s="2" t="s">
        <v>21</v>
      </c>
      <c r="C22" s="110" t="s">
        <v>123</v>
      </c>
      <c r="D22" s="7"/>
      <c r="E22" s="7"/>
      <c r="F22" s="7"/>
      <c r="G22" s="7"/>
      <c r="H22" s="7"/>
      <c r="I22" s="7"/>
      <c r="J22" s="7"/>
      <c r="K22" s="7"/>
    </row>
    <row r="23" spans="2:14" x14ac:dyDescent="0.2">
      <c r="B23" s="128" t="s">
        <v>137</v>
      </c>
      <c r="C23" s="129" t="s">
        <v>138</v>
      </c>
      <c r="D23" s="32">
        <f>2502807.19*(D13/$K13)</f>
        <v>365212.53822387231</v>
      </c>
      <c r="E23" s="32">
        <f t="shared" ref="E23:J23" si="5">2502807.19*(E13/$K13)</f>
        <v>441305.30352315039</v>
      </c>
      <c r="F23" s="32">
        <f t="shared" si="5"/>
        <v>1154249.9181649028</v>
      </c>
      <c r="G23" s="32">
        <f t="shared" si="5"/>
        <v>100585.6892789691</v>
      </c>
      <c r="H23" s="32">
        <f t="shared" si="5"/>
        <v>64715.684700070458</v>
      </c>
      <c r="I23" s="32">
        <f t="shared" si="5"/>
        <v>34889.471742563444</v>
      </c>
      <c r="J23" s="32">
        <f t="shared" si="5"/>
        <v>341848.58436647116</v>
      </c>
      <c r="K23" s="32">
        <f t="shared" ref="K23:K24" si="6">SUM(D23:J23)</f>
        <v>2502807.1899999995</v>
      </c>
    </row>
    <row r="24" spans="2:14" x14ac:dyDescent="0.2">
      <c r="B24" s="128" t="s">
        <v>139</v>
      </c>
      <c r="C24" s="129" t="s">
        <v>140</v>
      </c>
      <c r="D24" s="32">
        <f>305586.44*(D13/$K13)</f>
        <v>44591.529001959221</v>
      </c>
      <c r="E24" s="32">
        <f t="shared" ref="E24:J24" si="7">305586.44*(E13/$K13)</f>
        <v>53882.263562124012</v>
      </c>
      <c r="F24" s="32">
        <f t="shared" si="7"/>
        <v>140931.00130589926</v>
      </c>
      <c r="G24" s="32">
        <f t="shared" si="7"/>
        <v>12281.258749982389</v>
      </c>
      <c r="H24" s="32">
        <f t="shared" si="7"/>
        <v>7901.621738451614</v>
      </c>
      <c r="I24" s="32">
        <f t="shared" si="7"/>
        <v>4259.9164273978931</v>
      </c>
      <c r="J24" s="32">
        <f t="shared" si="7"/>
        <v>41738.849214185604</v>
      </c>
      <c r="K24" s="32">
        <f t="shared" si="6"/>
        <v>305586.44</v>
      </c>
    </row>
    <row r="25" spans="2:14" x14ac:dyDescent="0.2">
      <c r="B25" s="2" t="s">
        <v>25</v>
      </c>
      <c r="C25" s="44" t="s">
        <v>142</v>
      </c>
      <c r="D25" s="32">
        <f>88892.17*D13/$K13</f>
        <v>12971.248909480699</v>
      </c>
      <c r="E25" s="32">
        <f t="shared" ref="E25:J25" si="8">88892.17*E13/$K13</f>
        <v>15673.834652313544</v>
      </c>
      <c r="F25" s="32">
        <f t="shared" si="8"/>
        <v>40995.479139565941</v>
      </c>
      <c r="G25" s="32">
        <f t="shared" si="8"/>
        <v>3572.500601196251</v>
      </c>
      <c r="H25" s="32">
        <f t="shared" si="8"/>
        <v>2298.5061210508434</v>
      </c>
      <c r="I25" s="32">
        <f t="shared" si="8"/>
        <v>1239.1689083129675</v>
      </c>
      <c r="J25" s="32">
        <f t="shared" si="8"/>
        <v>12141.431668079753</v>
      </c>
      <c r="K25" s="32">
        <f t="shared" si="3"/>
        <v>88892.169999999984</v>
      </c>
    </row>
    <row r="26" spans="2:14" x14ac:dyDescent="0.2">
      <c r="B26" s="2" t="s">
        <v>22</v>
      </c>
      <c r="C26" s="44" t="s">
        <v>5</v>
      </c>
      <c r="D26" s="32">
        <v>0</v>
      </c>
      <c r="E26" s="32">
        <v>0</v>
      </c>
      <c r="F26" s="32">
        <v>0</v>
      </c>
      <c r="G26" s="32">
        <v>0</v>
      </c>
      <c r="H26" s="32">
        <v>0</v>
      </c>
      <c r="I26" s="32">
        <v>0</v>
      </c>
      <c r="J26" s="32">
        <v>0</v>
      </c>
      <c r="K26" s="32">
        <f t="shared" si="3"/>
        <v>0</v>
      </c>
    </row>
    <row r="27" spans="2:14" ht="13.5" thickBot="1" x14ac:dyDescent="0.25">
      <c r="B27" s="68" t="s">
        <v>19</v>
      </c>
      <c r="C27" s="68" t="s">
        <v>3</v>
      </c>
      <c r="D27" s="65">
        <v>0</v>
      </c>
      <c r="E27" s="65">
        <v>0</v>
      </c>
      <c r="F27" s="65">
        <v>0</v>
      </c>
      <c r="G27" s="65">
        <v>0</v>
      </c>
      <c r="H27" s="65">
        <v>0</v>
      </c>
      <c r="I27" s="65">
        <v>0</v>
      </c>
      <c r="J27" s="65">
        <v>0</v>
      </c>
      <c r="K27" s="65">
        <f t="shared" si="3"/>
        <v>0</v>
      </c>
    </row>
    <row r="28" spans="2:14" ht="26.25" thickTop="1" x14ac:dyDescent="0.2">
      <c r="B28" s="62" t="s">
        <v>23</v>
      </c>
      <c r="C28" s="67" t="s">
        <v>141</v>
      </c>
      <c r="D28" s="63">
        <f>SUM(D17:D21,D23:D27)</f>
        <v>16155439.523265921</v>
      </c>
      <c r="E28" s="63">
        <f t="shared" ref="E28:K28" si="9">SUM(E17:E21,E23:E27)</f>
        <v>22640855.558348503</v>
      </c>
      <c r="F28" s="63">
        <f t="shared" si="9"/>
        <v>56310690.926550932</v>
      </c>
      <c r="G28" s="63">
        <f t="shared" si="9"/>
        <v>4957507.72999602</v>
      </c>
      <c r="H28" s="63">
        <f t="shared" si="9"/>
        <v>3584787.8104911391</v>
      </c>
      <c r="I28" s="63">
        <f t="shared" si="9"/>
        <v>1841498.3468083886</v>
      </c>
      <c r="J28" s="63">
        <f t="shared" si="9"/>
        <v>18208677.274539094</v>
      </c>
      <c r="K28" s="63">
        <f t="shared" si="9"/>
        <v>123699457.17</v>
      </c>
      <c r="M28" s="144"/>
    </row>
    <row r="30" spans="2:14" x14ac:dyDescent="0.2">
      <c r="D30" s="34" t="s">
        <v>61</v>
      </c>
      <c r="E30" s="34"/>
      <c r="F30" s="34"/>
      <c r="G30" s="34"/>
      <c r="H30" s="34"/>
      <c r="I30" s="34"/>
      <c r="J30" s="34"/>
      <c r="K30" s="50"/>
    </row>
    <row r="31" spans="2:14" x14ac:dyDescent="0.2">
      <c r="B31" s="34" t="s">
        <v>9</v>
      </c>
      <c r="C31" s="54" t="s">
        <v>73</v>
      </c>
      <c r="D31" s="52" t="s">
        <v>55</v>
      </c>
      <c r="E31" s="52" t="s">
        <v>56</v>
      </c>
      <c r="F31" s="52" t="s">
        <v>37</v>
      </c>
      <c r="G31" s="52" t="s">
        <v>57</v>
      </c>
      <c r="H31" s="52" t="s">
        <v>58</v>
      </c>
      <c r="I31" s="52" t="s">
        <v>59</v>
      </c>
      <c r="J31" s="52" t="s">
        <v>60</v>
      </c>
      <c r="K31" s="34" t="s">
        <v>38</v>
      </c>
    </row>
    <row r="32" spans="2:14" x14ac:dyDescent="0.2">
      <c r="B32" s="131" t="s">
        <v>24</v>
      </c>
      <c r="C32" s="131" t="s">
        <v>144</v>
      </c>
      <c r="D32" s="58">
        <v>407422</v>
      </c>
      <c r="E32" s="58">
        <v>995755</v>
      </c>
      <c r="F32" s="58">
        <v>912715</v>
      </c>
      <c r="G32" s="58">
        <v>201686</v>
      </c>
      <c r="H32" s="58">
        <v>38976</v>
      </c>
      <c r="I32" s="58">
        <v>78809</v>
      </c>
      <c r="J32" s="58">
        <v>163261</v>
      </c>
      <c r="K32" s="60">
        <f>SUM(D32:J32)</f>
        <v>2798624</v>
      </c>
    </row>
    <row r="35" spans="2:11" ht="12.75" customHeight="1" x14ac:dyDescent="0.2">
      <c r="B35" s="148" t="s">
        <v>163</v>
      </c>
      <c r="C35" s="149"/>
      <c r="D35" s="149"/>
      <c r="E35" s="149"/>
      <c r="F35" s="149"/>
      <c r="G35" s="149"/>
      <c r="H35" s="149"/>
      <c r="I35" s="149"/>
      <c r="J35" s="149"/>
      <c r="K35" s="149"/>
    </row>
    <row r="36" spans="2:11" x14ac:dyDescent="0.2">
      <c r="B36" s="150" t="s">
        <v>176</v>
      </c>
      <c r="C36" s="151"/>
      <c r="D36" s="151"/>
      <c r="E36" s="151"/>
      <c r="F36" s="151"/>
      <c r="G36" s="151"/>
      <c r="H36" s="151"/>
      <c r="I36" s="151"/>
      <c r="J36" s="151"/>
      <c r="K36" s="152"/>
    </row>
    <row r="37" spans="2:11" x14ac:dyDescent="0.2">
      <c r="B37" s="153"/>
      <c r="C37" s="154"/>
      <c r="D37" s="154"/>
      <c r="E37" s="154"/>
      <c r="F37" s="154"/>
      <c r="G37" s="154"/>
      <c r="H37" s="154"/>
      <c r="I37" s="154"/>
      <c r="J37" s="154"/>
      <c r="K37" s="155"/>
    </row>
    <row r="38" spans="2:11" x14ac:dyDescent="0.2">
      <c r="B38" s="153"/>
      <c r="C38" s="154"/>
      <c r="D38" s="154"/>
      <c r="E38" s="154"/>
      <c r="F38" s="154"/>
      <c r="G38" s="154"/>
      <c r="H38" s="154"/>
      <c r="I38" s="154"/>
      <c r="J38" s="154"/>
      <c r="K38" s="155"/>
    </row>
    <row r="39" spans="2:11" x14ac:dyDescent="0.2">
      <c r="B39" s="153"/>
      <c r="C39" s="154"/>
      <c r="D39" s="154"/>
      <c r="E39" s="154"/>
      <c r="F39" s="154"/>
      <c r="G39" s="154"/>
      <c r="H39" s="154"/>
      <c r="I39" s="154"/>
      <c r="J39" s="154"/>
      <c r="K39" s="155"/>
    </row>
    <row r="40" spans="2:11" x14ac:dyDescent="0.2">
      <c r="B40" s="153"/>
      <c r="C40" s="154"/>
      <c r="D40" s="154"/>
      <c r="E40" s="154"/>
      <c r="F40" s="154"/>
      <c r="G40" s="154"/>
      <c r="H40" s="154"/>
      <c r="I40" s="154"/>
      <c r="J40" s="154"/>
      <c r="K40" s="155"/>
    </row>
    <row r="41" spans="2:11" ht="156.75" customHeight="1" x14ac:dyDescent="0.2">
      <c r="B41" s="156"/>
      <c r="C41" s="157"/>
      <c r="D41" s="157"/>
      <c r="E41" s="157"/>
      <c r="F41" s="157"/>
      <c r="G41" s="157"/>
      <c r="H41" s="157"/>
      <c r="I41" s="157"/>
      <c r="J41" s="157"/>
      <c r="K41" s="158"/>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R95"/>
  <sheetViews>
    <sheetView zoomScaleNormal="100" zoomScaleSheetLayoutView="70" workbookViewId="0">
      <selection activeCell="C10" sqref="C10"/>
    </sheetView>
  </sheetViews>
  <sheetFormatPr defaultColWidth="8.7109375" defaultRowHeight="12.75" x14ac:dyDescent="0.2"/>
  <cols>
    <col min="1" max="1" width="2.28515625" style="8" customWidth="1"/>
    <col min="2" max="2" width="11" style="8" bestFit="1" customWidth="1"/>
    <col min="3" max="3" width="23.28515625" style="8" bestFit="1" customWidth="1"/>
    <col min="4" max="5" width="15.28515625" style="8" customWidth="1"/>
    <col min="6" max="8" width="9.28515625" style="8" customWidth="1"/>
    <col min="9" max="9" width="2.28515625" style="8" customWidth="1"/>
    <col min="10" max="10" width="11" style="8" bestFit="1" customWidth="1"/>
    <col min="11" max="11" width="18.28515625" style="8" bestFit="1" customWidth="1"/>
    <col min="12" max="16" width="13" style="8" customWidth="1"/>
    <col min="17" max="17" width="2.28515625" style="8" customWidth="1"/>
    <col min="18" max="18" width="14.5703125" style="8" bestFit="1" customWidth="1"/>
    <col min="19" max="16384" width="8.7109375" style="8"/>
  </cols>
  <sheetData>
    <row r="2" spans="2:18" x14ac:dyDescent="0.2">
      <c r="B2" s="12" t="s">
        <v>105</v>
      </c>
      <c r="C2" s="13" t="str">
        <f>Overview!$C$11</f>
        <v>Rocky Mountain Health Plans</v>
      </c>
    </row>
    <row r="3" spans="2:18" x14ac:dyDescent="0.2">
      <c r="B3" s="12" t="s">
        <v>114</v>
      </c>
      <c r="C3" s="142">
        <f>Overview!C12</f>
        <v>1</v>
      </c>
    </row>
    <row r="4" spans="2:18" x14ac:dyDescent="0.2">
      <c r="B4" s="12" t="s">
        <v>27</v>
      </c>
      <c r="C4" s="14" t="s">
        <v>112</v>
      </c>
      <c r="R4" s="144"/>
    </row>
    <row r="5" spans="2:18" x14ac:dyDescent="0.2">
      <c r="B5" s="12" t="s">
        <v>28</v>
      </c>
      <c r="C5" s="13" t="str">
        <f>Overview!C13</f>
        <v>July 1, 2021 - June 30, 2022</v>
      </c>
      <c r="R5" s="144"/>
    </row>
    <row r="6" spans="2:18" x14ac:dyDescent="0.2">
      <c r="B6" s="12"/>
      <c r="C6" s="13"/>
      <c r="R6" s="144"/>
    </row>
    <row r="7" spans="2:18" ht="15" x14ac:dyDescent="0.25">
      <c r="B7" s="91" t="s">
        <v>159</v>
      </c>
    </row>
    <row r="8" spans="2:18" x14ac:dyDescent="0.2">
      <c r="B8" s="12"/>
      <c r="R8" s="144"/>
    </row>
    <row r="9" spans="2:18" x14ac:dyDescent="0.2">
      <c r="B9" s="12"/>
      <c r="C9" s="77" t="s">
        <v>90</v>
      </c>
      <c r="R9" s="144"/>
    </row>
    <row r="10" spans="2:18" x14ac:dyDescent="0.2">
      <c r="B10" s="12"/>
      <c r="C10" s="145">
        <v>674881.36</v>
      </c>
      <c r="D10" s="8" t="s">
        <v>179</v>
      </c>
      <c r="R10" s="144"/>
    </row>
    <row r="11" spans="2:18" x14ac:dyDescent="0.2">
      <c r="B11" s="12"/>
      <c r="C11" s="13"/>
      <c r="J11" s="12"/>
      <c r="K11" s="13"/>
    </row>
    <row r="12" spans="2:18" x14ac:dyDescent="0.2">
      <c r="C12" s="51"/>
      <c r="D12" s="34" t="s">
        <v>76</v>
      </c>
      <c r="E12" s="34"/>
      <c r="F12" s="34"/>
      <c r="G12" s="34"/>
      <c r="H12" s="34"/>
      <c r="K12" s="51"/>
      <c r="L12" s="34" t="s">
        <v>111</v>
      </c>
      <c r="M12" s="34"/>
      <c r="N12" s="34"/>
      <c r="O12" s="34"/>
      <c r="P12" s="34"/>
    </row>
    <row r="13" spans="2:18" x14ac:dyDescent="0.2">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8" ht="15" x14ac:dyDescent="0.25">
      <c r="B14"/>
      <c r="C14" s="9" t="s">
        <v>65</v>
      </c>
      <c r="D14" s="146"/>
      <c r="E14" s="146"/>
      <c r="F14" s="59">
        <v>61</v>
      </c>
      <c r="G14" s="146"/>
      <c r="H14" s="59">
        <v>144</v>
      </c>
      <c r="J14"/>
      <c r="K14" s="9" t="s">
        <v>65</v>
      </c>
      <c r="L14" s="147"/>
      <c r="M14" s="147"/>
      <c r="N14" s="71">
        <v>28529.279999999999</v>
      </c>
      <c r="O14" s="147"/>
      <c r="P14" s="71">
        <f>134677.74+6610+2105</f>
        <v>143392.74</v>
      </c>
    </row>
    <row r="15" spans="2:18" ht="15" x14ac:dyDescent="0.25">
      <c r="B15"/>
      <c r="C15" s="9" t="s">
        <v>66</v>
      </c>
      <c r="D15" s="59">
        <v>19</v>
      </c>
      <c r="E15" s="59">
        <v>1135</v>
      </c>
      <c r="F15" s="146"/>
      <c r="G15" s="181">
        <f>363+103</f>
        <v>466</v>
      </c>
      <c r="H15" s="146"/>
      <c r="J15"/>
      <c r="K15" s="9" t="s">
        <v>66</v>
      </c>
      <c r="L15" s="71">
        <v>8075</v>
      </c>
      <c r="M15" s="71">
        <f>296572.49+13350+4255</f>
        <v>314177.49</v>
      </c>
      <c r="N15" s="147"/>
      <c r="O15" s="183">
        <f>131353.2+26675</f>
        <v>158028.20000000001</v>
      </c>
      <c r="P15" s="147"/>
    </row>
    <row r="16" spans="2:18" ht="15.75" thickBot="1" x14ac:dyDescent="0.3">
      <c r="B16"/>
      <c r="C16" s="11" t="s">
        <v>67</v>
      </c>
      <c r="D16" s="69">
        <v>0</v>
      </c>
      <c r="E16" s="69">
        <v>0</v>
      </c>
      <c r="F16" s="69">
        <v>2</v>
      </c>
      <c r="G16" s="182">
        <v>0</v>
      </c>
      <c r="H16" s="69">
        <v>47</v>
      </c>
      <c r="J16"/>
      <c r="K16" s="11" t="s">
        <v>67</v>
      </c>
      <c r="L16" s="72">
        <v>0</v>
      </c>
      <c r="M16" s="72">
        <v>0</v>
      </c>
      <c r="N16" s="72">
        <v>1300</v>
      </c>
      <c r="O16" s="184">
        <v>0</v>
      </c>
      <c r="P16" s="72">
        <f>37204</f>
        <v>37204</v>
      </c>
    </row>
    <row r="17" spans="2:18" ht="15.75" thickTop="1" x14ac:dyDescent="0.25">
      <c r="B17"/>
      <c r="C17" s="66" t="s">
        <v>38</v>
      </c>
      <c r="D17" s="70">
        <f>SUM(D14:D16)</f>
        <v>19</v>
      </c>
      <c r="E17" s="70">
        <f t="shared" ref="E17:H17" si="0">SUM(E14:E16)</f>
        <v>1135</v>
      </c>
      <c r="F17" s="70">
        <f t="shared" si="0"/>
        <v>63</v>
      </c>
      <c r="G17" s="70">
        <f t="shared" si="0"/>
        <v>466</v>
      </c>
      <c r="H17" s="70">
        <f t="shared" si="0"/>
        <v>191</v>
      </c>
      <c r="J17"/>
      <c r="K17" s="66" t="s">
        <v>38</v>
      </c>
      <c r="L17" s="73">
        <f>SUM(L14:L16)</f>
        <v>8075</v>
      </c>
      <c r="M17" s="73">
        <f t="shared" ref="M17:P17" si="1">SUM(M14:M16)</f>
        <v>314177.49</v>
      </c>
      <c r="N17" s="73">
        <f t="shared" si="1"/>
        <v>29829.279999999999</v>
      </c>
      <c r="O17" s="73">
        <f t="shared" si="1"/>
        <v>158028.20000000001</v>
      </c>
      <c r="P17" s="73">
        <f t="shared" si="1"/>
        <v>180596.74</v>
      </c>
      <c r="R17" s="144"/>
    </row>
    <row r="18" spans="2:18" ht="15" x14ac:dyDescent="0.25">
      <c r="B18"/>
      <c r="C18"/>
      <c r="D18"/>
      <c r="E18"/>
      <c r="F18"/>
      <c r="G18"/>
      <c r="H18"/>
      <c r="J18"/>
      <c r="K18"/>
    </row>
    <row r="19" spans="2:18" x14ac:dyDescent="0.2">
      <c r="C19" s="51"/>
      <c r="D19" s="34" t="s">
        <v>76</v>
      </c>
      <c r="E19" s="34"/>
      <c r="F19" s="34"/>
      <c r="G19" s="34"/>
      <c r="H19" s="34"/>
      <c r="K19" s="51"/>
      <c r="L19" s="34" t="s">
        <v>111</v>
      </c>
      <c r="M19" s="34"/>
      <c r="N19" s="34"/>
      <c r="O19" s="34"/>
      <c r="P19" s="34"/>
    </row>
    <row r="20" spans="2:18" x14ac:dyDescent="0.2">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8" ht="12.75" customHeight="1" x14ac:dyDescent="0.25">
      <c r="B21"/>
      <c r="C21" s="9" t="s">
        <v>65</v>
      </c>
      <c r="D21" s="146"/>
      <c r="E21" s="146"/>
      <c r="F21" s="59">
        <v>81</v>
      </c>
      <c r="G21" s="146"/>
      <c r="H21" s="59">
        <v>129</v>
      </c>
      <c r="J21"/>
      <c r="K21" s="9" t="s">
        <v>65</v>
      </c>
      <c r="L21" s="147"/>
      <c r="M21" s="147"/>
      <c r="N21" s="71">
        <v>39814.080000000002</v>
      </c>
      <c r="O21" s="147"/>
      <c r="P21" s="71">
        <f>120523.23+6610+2107</f>
        <v>129240.23</v>
      </c>
    </row>
    <row r="22" spans="2:18" ht="15" x14ac:dyDescent="0.25">
      <c r="B22"/>
      <c r="C22" s="9" t="s">
        <v>66</v>
      </c>
      <c r="D22" s="59">
        <v>14</v>
      </c>
      <c r="E22" s="59">
        <v>1330</v>
      </c>
      <c r="F22" s="146"/>
      <c r="G22" s="181">
        <f>278+97</f>
        <v>375</v>
      </c>
      <c r="H22" s="146"/>
      <c r="J22"/>
      <c r="K22" s="9" t="s">
        <v>66</v>
      </c>
      <c r="L22" s="71">
        <v>2100</v>
      </c>
      <c r="M22" s="71">
        <f>356775+13350+4255</f>
        <v>374380</v>
      </c>
      <c r="N22" s="147"/>
      <c r="O22" s="183">
        <f>99366.92+24725</f>
        <v>124091.92</v>
      </c>
      <c r="P22" s="147"/>
    </row>
    <row r="23" spans="2:18" ht="15.75" thickBot="1" x14ac:dyDescent="0.3">
      <c r="B23"/>
      <c r="C23" s="11" t="s">
        <v>67</v>
      </c>
      <c r="D23" s="69">
        <v>0</v>
      </c>
      <c r="E23" s="69">
        <v>0</v>
      </c>
      <c r="F23" s="69">
        <v>0</v>
      </c>
      <c r="G23" s="182">
        <v>0</v>
      </c>
      <c r="H23" s="69">
        <v>19</v>
      </c>
      <c r="J23"/>
      <c r="K23" s="11" t="s">
        <v>67</v>
      </c>
      <c r="L23" s="72">
        <v>0</v>
      </c>
      <c r="M23" s="72">
        <v>0</v>
      </c>
      <c r="N23" s="72">
        <v>0</v>
      </c>
      <c r="O23" s="184">
        <v>0</v>
      </c>
      <c r="P23" s="72">
        <f>17860</f>
        <v>17860</v>
      </c>
    </row>
    <row r="24" spans="2:18" ht="15.75" thickTop="1" x14ac:dyDescent="0.25">
      <c r="B24"/>
      <c r="C24" s="66" t="s">
        <v>38</v>
      </c>
      <c r="D24" s="70">
        <f>SUM(D21:D23)</f>
        <v>14</v>
      </c>
      <c r="E24" s="70">
        <f t="shared" ref="E24:H24" si="2">SUM(E21:E23)</f>
        <v>1330</v>
      </c>
      <c r="F24" s="70">
        <f t="shared" si="2"/>
        <v>81</v>
      </c>
      <c r="G24" s="70">
        <f t="shared" si="2"/>
        <v>375</v>
      </c>
      <c r="H24" s="70">
        <f t="shared" si="2"/>
        <v>148</v>
      </c>
      <c r="J24"/>
      <c r="K24" s="66" t="s">
        <v>38</v>
      </c>
      <c r="L24" s="73">
        <f>SUM(L21:L23)</f>
        <v>2100</v>
      </c>
      <c r="M24" s="73">
        <f t="shared" ref="M24:P24" si="3">SUM(M21:M23)</f>
        <v>374380</v>
      </c>
      <c r="N24" s="73">
        <f t="shared" si="3"/>
        <v>39814.080000000002</v>
      </c>
      <c r="O24" s="73">
        <f t="shared" si="3"/>
        <v>124091.92</v>
      </c>
      <c r="P24" s="73">
        <f t="shared" si="3"/>
        <v>147100.22999999998</v>
      </c>
      <c r="R24" s="144"/>
    </row>
    <row r="25" spans="2:18" ht="15" x14ac:dyDescent="0.25">
      <c r="B25"/>
      <c r="C25"/>
      <c r="D25"/>
      <c r="E25"/>
      <c r="F25"/>
      <c r="G25"/>
      <c r="H25"/>
      <c r="J25"/>
      <c r="K25"/>
      <c r="L25"/>
      <c r="M25"/>
    </row>
    <row r="26" spans="2:18" x14ac:dyDescent="0.2">
      <c r="C26" s="51"/>
      <c r="D26" s="34" t="s">
        <v>76</v>
      </c>
      <c r="E26" s="34"/>
      <c r="F26" s="34"/>
      <c r="G26" s="34"/>
      <c r="H26" s="34"/>
      <c r="K26" s="51"/>
      <c r="L26" s="34" t="s">
        <v>111</v>
      </c>
      <c r="M26" s="34"/>
      <c r="N26" s="34"/>
      <c r="O26" s="34"/>
      <c r="P26" s="34"/>
    </row>
    <row r="27" spans="2:18" x14ac:dyDescent="0.2">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8" ht="15" x14ac:dyDescent="0.25">
      <c r="B28"/>
      <c r="C28" s="9" t="s">
        <v>65</v>
      </c>
      <c r="D28" s="146"/>
      <c r="E28" s="146"/>
      <c r="F28" s="59">
        <v>72</v>
      </c>
      <c r="G28" s="146"/>
      <c r="H28" s="59">
        <v>97</v>
      </c>
      <c r="J28"/>
      <c r="K28" s="9" t="s">
        <v>65</v>
      </c>
      <c r="L28" s="147"/>
      <c r="M28" s="147"/>
      <c r="N28" s="71">
        <v>33944.28</v>
      </c>
      <c r="O28" s="147"/>
      <c r="P28" s="71">
        <f>90962.08+6610+2107</f>
        <v>99679.08</v>
      </c>
    </row>
    <row r="29" spans="2:18" ht="15" x14ac:dyDescent="0.25">
      <c r="B29"/>
      <c r="C29" s="9" t="s">
        <v>66</v>
      </c>
      <c r="D29" s="59">
        <v>33</v>
      </c>
      <c r="E29" s="59">
        <v>532</v>
      </c>
      <c r="F29" s="146"/>
      <c r="G29" s="181">
        <f>438+101</f>
        <v>539</v>
      </c>
      <c r="H29" s="146"/>
      <c r="J29"/>
      <c r="K29" s="9" t="s">
        <v>66</v>
      </c>
      <c r="L29" s="71">
        <v>4825</v>
      </c>
      <c r="M29" s="71">
        <f>143160+13350+4255</f>
        <v>160765</v>
      </c>
      <c r="N29" s="147"/>
      <c r="O29" s="183">
        <f>157300.08+25525</f>
        <v>182825.08</v>
      </c>
      <c r="P29" s="147"/>
    </row>
    <row r="30" spans="2:18" ht="15.75" thickBot="1" x14ac:dyDescent="0.3">
      <c r="B30"/>
      <c r="C30" s="11" t="s">
        <v>67</v>
      </c>
      <c r="D30" s="69">
        <v>0</v>
      </c>
      <c r="E30" s="69">
        <v>0</v>
      </c>
      <c r="F30" s="69">
        <v>0</v>
      </c>
      <c r="G30" s="182">
        <v>0</v>
      </c>
      <c r="H30" s="69">
        <v>71</v>
      </c>
      <c r="J30"/>
      <c r="K30" s="11" t="s">
        <v>67</v>
      </c>
      <c r="L30" s="72">
        <v>0</v>
      </c>
      <c r="M30" s="72">
        <v>0</v>
      </c>
      <c r="N30" s="72">
        <v>0</v>
      </c>
      <c r="O30" s="184">
        <v>0</v>
      </c>
      <c r="P30" s="72">
        <f>67432.16</f>
        <v>67432.160000000003</v>
      </c>
    </row>
    <row r="31" spans="2:18" ht="15.75" thickTop="1" x14ac:dyDescent="0.25">
      <c r="B31"/>
      <c r="C31" s="66" t="s">
        <v>38</v>
      </c>
      <c r="D31" s="70">
        <f>SUM(D28:D30)</f>
        <v>33</v>
      </c>
      <c r="E31" s="70">
        <f t="shared" ref="E31:H31" si="4">SUM(E28:E30)</f>
        <v>532</v>
      </c>
      <c r="F31" s="70">
        <f t="shared" si="4"/>
        <v>72</v>
      </c>
      <c r="G31" s="70">
        <f t="shared" si="4"/>
        <v>539</v>
      </c>
      <c r="H31" s="70">
        <f t="shared" si="4"/>
        <v>168</v>
      </c>
      <c r="J31"/>
      <c r="K31" s="66" t="s">
        <v>38</v>
      </c>
      <c r="L31" s="73">
        <f>SUM(L28:L30)</f>
        <v>4825</v>
      </c>
      <c r="M31" s="73">
        <f t="shared" ref="M31:P31" si="5">SUM(M28:M30)</f>
        <v>160765</v>
      </c>
      <c r="N31" s="73">
        <f t="shared" si="5"/>
        <v>33944.28</v>
      </c>
      <c r="O31" s="73">
        <f t="shared" si="5"/>
        <v>182825.08</v>
      </c>
      <c r="P31" s="73">
        <f t="shared" si="5"/>
        <v>167111.24</v>
      </c>
      <c r="R31" s="144"/>
    </row>
    <row r="32" spans="2:18" ht="15" x14ac:dyDescent="0.25">
      <c r="B32"/>
      <c r="C32"/>
      <c r="D32"/>
      <c r="E32"/>
      <c r="F32"/>
      <c r="G32"/>
      <c r="H32"/>
      <c r="J32"/>
      <c r="K32"/>
      <c r="L32"/>
      <c r="M32"/>
    </row>
    <row r="33" spans="2:18" x14ac:dyDescent="0.2">
      <c r="C33" s="51"/>
      <c r="D33" s="34" t="s">
        <v>76</v>
      </c>
      <c r="E33" s="34"/>
      <c r="F33" s="34"/>
      <c r="G33" s="34"/>
      <c r="H33" s="34"/>
      <c r="K33" s="51"/>
      <c r="L33" s="34" t="s">
        <v>111</v>
      </c>
      <c r="M33" s="34"/>
      <c r="N33" s="34"/>
      <c r="O33" s="34"/>
      <c r="P33" s="34"/>
    </row>
    <row r="34" spans="2:18" x14ac:dyDescent="0.2">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8" ht="15" x14ac:dyDescent="0.25">
      <c r="B35"/>
      <c r="C35" s="9" t="s">
        <v>65</v>
      </c>
      <c r="D35" s="146"/>
      <c r="E35" s="146"/>
      <c r="F35" s="59">
        <v>129</v>
      </c>
      <c r="G35" s="146"/>
      <c r="H35" s="59">
        <v>159</v>
      </c>
      <c r="J35"/>
      <c r="K35" s="9" t="s">
        <v>65</v>
      </c>
      <c r="L35" s="147"/>
      <c r="M35" s="147"/>
      <c r="N35" s="71">
        <v>66039.28</v>
      </c>
      <c r="O35" s="147"/>
      <c r="P35" s="71">
        <f>138241.81+6610+2107</f>
        <v>146958.81</v>
      </c>
    </row>
    <row r="36" spans="2:18" ht="15" x14ac:dyDescent="0.25">
      <c r="B36"/>
      <c r="C36" s="9" t="s">
        <v>66</v>
      </c>
      <c r="D36" s="59">
        <v>3</v>
      </c>
      <c r="E36" s="59">
        <v>1315</v>
      </c>
      <c r="F36" s="146"/>
      <c r="G36" s="181">
        <f>453+50</f>
        <v>503</v>
      </c>
      <c r="H36" s="146"/>
      <c r="J36"/>
      <c r="K36" s="9" t="s">
        <v>66</v>
      </c>
      <c r="L36" s="71">
        <v>375</v>
      </c>
      <c r="M36" s="71">
        <f>363033.82+13350+4255</f>
        <v>380638.82</v>
      </c>
      <c r="N36" s="147"/>
      <c r="O36" s="183">
        <f>162923.84+13750</f>
        <v>176673.84</v>
      </c>
      <c r="P36" s="147"/>
    </row>
    <row r="37" spans="2:18" ht="15.75" thickBot="1" x14ac:dyDescent="0.3">
      <c r="B37"/>
      <c r="C37" s="11" t="s">
        <v>67</v>
      </c>
      <c r="D37" s="69">
        <v>0</v>
      </c>
      <c r="E37" s="69">
        <v>0</v>
      </c>
      <c r="F37" s="69">
        <v>7</v>
      </c>
      <c r="G37" s="182">
        <v>0</v>
      </c>
      <c r="H37" s="69">
        <v>33</v>
      </c>
      <c r="J37"/>
      <c r="K37" s="11" t="s">
        <v>67</v>
      </c>
      <c r="L37" s="72">
        <v>0</v>
      </c>
      <c r="M37" s="72">
        <v>0</v>
      </c>
      <c r="N37" s="72">
        <v>4686.5</v>
      </c>
      <c r="O37" s="184">
        <v>0</v>
      </c>
      <c r="P37" s="72">
        <f>30577.88</f>
        <v>30577.88</v>
      </c>
    </row>
    <row r="38" spans="2:18" ht="15.75" thickTop="1" x14ac:dyDescent="0.25">
      <c r="B38"/>
      <c r="C38" s="66" t="s">
        <v>38</v>
      </c>
      <c r="D38" s="70">
        <f>SUM(D35:D37)</f>
        <v>3</v>
      </c>
      <c r="E38" s="70">
        <f t="shared" ref="E38:H38" si="6">SUM(E35:E37)</f>
        <v>1315</v>
      </c>
      <c r="F38" s="70">
        <f t="shared" si="6"/>
        <v>136</v>
      </c>
      <c r="G38" s="70">
        <f t="shared" si="6"/>
        <v>503</v>
      </c>
      <c r="H38" s="70">
        <f t="shared" si="6"/>
        <v>192</v>
      </c>
      <c r="J38"/>
      <c r="K38" s="66" t="s">
        <v>38</v>
      </c>
      <c r="L38" s="73">
        <f>SUM(L35:L37)</f>
        <v>375</v>
      </c>
      <c r="M38" s="73">
        <f t="shared" ref="M38:P38" si="7">SUM(M35:M37)</f>
        <v>380638.82</v>
      </c>
      <c r="N38" s="73">
        <f t="shared" si="7"/>
        <v>70725.78</v>
      </c>
      <c r="O38" s="73">
        <f t="shared" si="7"/>
        <v>176673.84</v>
      </c>
      <c r="P38" s="73">
        <f t="shared" si="7"/>
        <v>177536.69</v>
      </c>
      <c r="R38" s="144"/>
    </row>
    <row r="39" spans="2:18" ht="15" x14ac:dyDescent="0.25">
      <c r="B39"/>
      <c r="C39"/>
      <c r="D39"/>
      <c r="E39"/>
      <c r="F39"/>
      <c r="G39"/>
      <c r="H39"/>
      <c r="J39"/>
      <c r="K39"/>
      <c r="L39"/>
      <c r="M39"/>
    </row>
    <row r="40" spans="2:18" x14ac:dyDescent="0.2">
      <c r="C40" s="51"/>
      <c r="D40" s="34" t="s">
        <v>76</v>
      </c>
      <c r="E40" s="34"/>
      <c r="F40" s="34"/>
      <c r="G40" s="34"/>
      <c r="H40" s="34"/>
      <c r="K40" s="51"/>
      <c r="L40" s="34" t="s">
        <v>111</v>
      </c>
      <c r="M40" s="34"/>
      <c r="N40" s="34"/>
      <c r="O40" s="34"/>
      <c r="P40" s="34"/>
    </row>
    <row r="41" spans="2:18" x14ac:dyDescent="0.2">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8" ht="15" x14ac:dyDescent="0.25">
      <c r="B42"/>
      <c r="C42" s="9" t="s">
        <v>65</v>
      </c>
      <c r="D42" s="146"/>
      <c r="E42" s="146"/>
      <c r="F42" s="59">
        <v>64</v>
      </c>
      <c r="G42" s="146"/>
      <c r="H42" s="59">
        <v>119</v>
      </c>
      <c r="J42"/>
      <c r="K42" s="9" t="s">
        <v>65</v>
      </c>
      <c r="L42" s="147"/>
      <c r="M42" s="147"/>
      <c r="N42" s="71">
        <v>51200</v>
      </c>
      <c r="O42" s="147"/>
      <c r="P42" s="71">
        <f>110797.65+6610+2107</f>
        <v>119514.65</v>
      </c>
    </row>
    <row r="43" spans="2:18" ht="15" x14ac:dyDescent="0.25">
      <c r="B43"/>
      <c r="C43" s="9" t="s">
        <v>66</v>
      </c>
      <c r="D43" s="59">
        <v>14</v>
      </c>
      <c r="E43" s="59">
        <v>1224</v>
      </c>
      <c r="F43" s="146"/>
      <c r="G43" s="181">
        <f>376+41</f>
        <v>417</v>
      </c>
      <c r="H43" s="146"/>
      <c r="J43"/>
      <c r="K43" s="9" t="s">
        <v>66</v>
      </c>
      <c r="L43" s="71">
        <v>1750</v>
      </c>
      <c r="M43" s="71">
        <f>349738.78+13350+4255</f>
        <v>367343.78</v>
      </c>
      <c r="N43" s="147"/>
      <c r="O43" s="183">
        <f>130674.12+11275</f>
        <v>141949.12</v>
      </c>
      <c r="P43" s="147"/>
    </row>
    <row r="44" spans="2:18" ht="15.75" thickBot="1" x14ac:dyDescent="0.3">
      <c r="B44"/>
      <c r="C44" s="11" t="s">
        <v>67</v>
      </c>
      <c r="D44" s="69">
        <v>0</v>
      </c>
      <c r="E44" s="69">
        <v>0</v>
      </c>
      <c r="F44" s="69">
        <v>7</v>
      </c>
      <c r="G44" s="182">
        <v>0</v>
      </c>
      <c r="H44" s="69">
        <v>68</v>
      </c>
      <c r="J44"/>
      <c r="K44" s="11" t="s">
        <v>67</v>
      </c>
      <c r="L44" s="72">
        <v>0</v>
      </c>
      <c r="M44" s="72">
        <v>0</v>
      </c>
      <c r="N44" s="72">
        <v>4550</v>
      </c>
      <c r="O44" s="184">
        <v>0</v>
      </c>
      <c r="P44" s="72">
        <f>51377.99</f>
        <v>51377.99</v>
      </c>
    </row>
    <row r="45" spans="2:18" ht="15.75" thickTop="1" x14ac:dyDescent="0.25">
      <c r="B45"/>
      <c r="C45" s="66" t="s">
        <v>38</v>
      </c>
      <c r="D45" s="70">
        <f>SUM(D42:D44)</f>
        <v>14</v>
      </c>
      <c r="E45" s="70">
        <f t="shared" ref="E45:H45" si="8">SUM(E42:E44)</f>
        <v>1224</v>
      </c>
      <c r="F45" s="70">
        <f t="shared" si="8"/>
        <v>71</v>
      </c>
      <c r="G45" s="70">
        <f t="shared" si="8"/>
        <v>417</v>
      </c>
      <c r="H45" s="70">
        <f t="shared" si="8"/>
        <v>187</v>
      </c>
      <c r="J45"/>
      <c r="K45" s="66" t="s">
        <v>38</v>
      </c>
      <c r="L45" s="73">
        <f>SUM(L42:L44)</f>
        <v>1750</v>
      </c>
      <c r="M45" s="73">
        <f t="shared" ref="M45:P45" si="9">SUM(M42:M44)</f>
        <v>367343.78</v>
      </c>
      <c r="N45" s="73">
        <f t="shared" si="9"/>
        <v>55750</v>
      </c>
      <c r="O45" s="73">
        <f t="shared" si="9"/>
        <v>141949.12</v>
      </c>
      <c r="P45" s="73">
        <f t="shared" si="9"/>
        <v>170892.63999999998</v>
      </c>
      <c r="R45" s="144"/>
    </row>
    <row r="46" spans="2:18" ht="15" x14ac:dyDescent="0.25">
      <c r="B46"/>
      <c r="C46"/>
      <c r="D46"/>
      <c r="E46"/>
      <c r="F46"/>
      <c r="G46"/>
      <c r="H46"/>
      <c r="J46"/>
      <c r="K46"/>
      <c r="L46"/>
      <c r="M46"/>
    </row>
    <row r="47" spans="2:18" x14ac:dyDescent="0.2">
      <c r="C47" s="51"/>
      <c r="D47" s="34" t="s">
        <v>76</v>
      </c>
      <c r="E47" s="34"/>
      <c r="F47" s="34"/>
      <c r="G47" s="34"/>
      <c r="H47" s="34"/>
      <c r="K47" s="51"/>
      <c r="L47" s="34" t="s">
        <v>111</v>
      </c>
      <c r="M47" s="34"/>
      <c r="N47" s="34"/>
      <c r="O47" s="34"/>
      <c r="P47" s="34"/>
    </row>
    <row r="48" spans="2:18" x14ac:dyDescent="0.2">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8" ht="15" x14ac:dyDescent="0.25">
      <c r="B49"/>
      <c r="C49" s="9" t="s">
        <v>65</v>
      </c>
      <c r="D49" s="146"/>
      <c r="E49" s="146"/>
      <c r="F49" s="59">
        <v>141</v>
      </c>
      <c r="G49" s="146"/>
      <c r="H49" s="59">
        <v>166</v>
      </c>
      <c r="J49"/>
      <c r="K49" s="9" t="s">
        <v>65</v>
      </c>
      <c r="L49" s="147"/>
      <c r="M49" s="147"/>
      <c r="N49" s="71">
        <v>103059.48</v>
      </c>
      <c r="O49" s="147"/>
      <c r="P49" s="71">
        <f>155809.56+6610+2107</f>
        <v>164526.56</v>
      </c>
    </row>
    <row r="50" spans="2:18" ht="15" x14ac:dyDescent="0.25">
      <c r="B50"/>
      <c r="C50" s="9" t="s">
        <v>66</v>
      </c>
      <c r="D50" s="59">
        <v>9</v>
      </c>
      <c r="E50" s="59">
        <v>967</v>
      </c>
      <c r="F50" s="146"/>
      <c r="G50" s="181">
        <f>462+35</f>
        <v>497</v>
      </c>
      <c r="H50" s="146"/>
      <c r="J50"/>
      <c r="K50" s="9" t="s">
        <v>66</v>
      </c>
      <c r="L50" s="71">
        <v>1125</v>
      </c>
      <c r="M50" s="71">
        <f>282812.5+13350+4255</f>
        <v>300417.5</v>
      </c>
      <c r="N50" s="147"/>
      <c r="O50" s="183">
        <f>165622.56+9625</f>
        <v>175247.56</v>
      </c>
      <c r="P50" s="147"/>
    </row>
    <row r="51" spans="2:18" ht="15.75" thickBot="1" x14ac:dyDescent="0.3">
      <c r="B51"/>
      <c r="C51" s="11" t="s">
        <v>67</v>
      </c>
      <c r="D51" s="69">
        <v>0</v>
      </c>
      <c r="E51" s="69">
        <v>0</v>
      </c>
      <c r="F51" s="69">
        <v>0</v>
      </c>
      <c r="G51" s="182">
        <v>0</v>
      </c>
      <c r="H51" s="69">
        <v>11</v>
      </c>
      <c r="J51"/>
      <c r="K51" s="11" t="s">
        <v>67</v>
      </c>
      <c r="L51" s="72">
        <v>0</v>
      </c>
      <c r="M51" s="72">
        <v>0</v>
      </c>
      <c r="N51" s="72">
        <v>0</v>
      </c>
      <c r="O51" s="184">
        <v>0</v>
      </c>
      <c r="P51" s="72">
        <f>10340</f>
        <v>10340</v>
      </c>
    </row>
    <row r="52" spans="2:18" ht="15.75" thickTop="1" x14ac:dyDescent="0.25">
      <c r="B52"/>
      <c r="C52" s="66" t="s">
        <v>38</v>
      </c>
      <c r="D52" s="70">
        <f>SUM(D49:D51)</f>
        <v>9</v>
      </c>
      <c r="E52" s="70">
        <f t="shared" ref="E52:H52" si="10">SUM(E49:E51)</f>
        <v>967</v>
      </c>
      <c r="F52" s="70">
        <f t="shared" si="10"/>
        <v>141</v>
      </c>
      <c r="G52" s="70">
        <f t="shared" si="10"/>
        <v>497</v>
      </c>
      <c r="H52" s="70">
        <f t="shared" si="10"/>
        <v>177</v>
      </c>
      <c r="J52"/>
      <c r="K52" s="66" t="s">
        <v>38</v>
      </c>
      <c r="L52" s="73">
        <f>SUM(L49:L51)</f>
        <v>1125</v>
      </c>
      <c r="M52" s="73">
        <f t="shared" ref="M52:P52" si="11">SUM(M49:M51)</f>
        <v>300417.5</v>
      </c>
      <c r="N52" s="73">
        <f t="shared" si="11"/>
        <v>103059.48</v>
      </c>
      <c r="O52" s="73">
        <f t="shared" si="11"/>
        <v>175247.56</v>
      </c>
      <c r="P52" s="73">
        <f t="shared" si="11"/>
        <v>174866.56</v>
      </c>
      <c r="R52" s="144"/>
    </row>
    <row r="53" spans="2:18" ht="15" x14ac:dyDescent="0.25">
      <c r="B53"/>
      <c r="C53" s="132"/>
      <c r="D53" s="133"/>
      <c r="E53" s="133"/>
      <c r="F53" s="133"/>
      <c r="G53" s="133"/>
      <c r="H53" s="133"/>
      <c r="J53"/>
      <c r="K53" s="132"/>
      <c r="L53" s="134"/>
      <c r="M53" s="134"/>
      <c r="N53" s="134"/>
      <c r="O53" s="134"/>
      <c r="P53" s="134"/>
    </row>
    <row r="54" spans="2:18" x14ac:dyDescent="0.2">
      <c r="C54" s="51"/>
      <c r="D54" s="34" t="s">
        <v>76</v>
      </c>
      <c r="E54" s="34"/>
      <c r="F54" s="34"/>
      <c r="G54" s="34"/>
      <c r="H54" s="34"/>
      <c r="K54" s="51"/>
      <c r="L54" s="34" t="s">
        <v>111</v>
      </c>
      <c r="M54" s="34"/>
      <c r="N54" s="34"/>
      <c r="O54" s="34"/>
      <c r="P54" s="34"/>
    </row>
    <row r="55" spans="2:18" x14ac:dyDescent="0.2">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8" ht="15" x14ac:dyDescent="0.25">
      <c r="B56"/>
      <c r="C56" s="9" t="s">
        <v>65</v>
      </c>
      <c r="D56" s="146"/>
      <c r="E56" s="146"/>
      <c r="F56" s="59">
        <v>228</v>
      </c>
      <c r="G56" s="146"/>
      <c r="H56" s="59">
        <v>205</v>
      </c>
      <c r="J56"/>
      <c r="K56" s="9" t="s">
        <v>65</v>
      </c>
      <c r="L56" s="147"/>
      <c r="M56" s="147"/>
      <c r="N56" s="71">
        <v>170357.36</v>
      </c>
      <c r="O56" s="147"/>
      <c r="P56" s="71">
        <v>190089.82</v>
      </c>
    </row>
    <row r="57" spans="2:18" ht="15" x14ac:dyDescent="0.25">
      <c r="B57"/>
      <c r="C57" s="9" t="s">
        <v>66</v>
      </c>
      <c r="D57" s="59">
        <v>173</v>
      </c>
      <c r="E57" s="59">
        <v>1808</v>
      </c>
      <c r="F57" s="146"/>
      <c r="G57" s="181">
        <f>342+71</f>
        <v>413</v>
      </c>
      <c r="H57" s="146"/>
      <c r="J57"/>
      <c r="K57" s="9" t="s">
        <v>66</v>
      </c>
      <c r="L57" s="71">
        <v>35475</v>
      </c>
      <c r="M57" s="71">
        <f>562607.5+13350+4255</f>
        <v>580212.5</v>
      </c>
      <c r="N57" s="147"/>
      <c r="O57" s="183">
        <f>118197.76+19525</f>
        <v>137722.76</v>
      </c>
      <c r="P57" s="147"/>
    </row>
    <row r="58" spans="2:18" ht="15.75" thickBot="1" x14ac:dyDescent="0.3">
      <c r="B58"/>
      <c r="C58" s="11" t="s">
        <v>67</v>
      </c>
      <c r="D58" s="69">
        <v>0</v>
      </c>
      <c r="E58" s="69">
        <v>0</v>
      </c>
      <c r="F58" s="69">
        <v>0</v>
      </c>
      <c r="G58" s="182">
        <v>0</v>
      </c>
      <c r="H58" s="69">
        <v>14</v>
      </c>
      <c r="J58"/>
      <c r="K58" s="11" t="s">
        <v>67</v>
      </c>
      <c r="L58" s="72">
        <v>0</v>
      </c>
      <c r="M58" s="72">
        <v>0</v>
      </c>
      <c r="N58" s="72">
        <v>0</v>
      </c>
      <c r="O58" s="184">
        <v>0</v>
      </c>
      <c r="P58" s="72">
        <v>13160</v>
      </c>
    </row>
    <row r="59" spans="2:18" ht="15.75" thickTop="1" x14ac:dyDescent="0.25">
      <c r="B59"/>
      <c r="C59" s="66" t="s">
        <v>38</v>
      </c>
      <c r="D59" s="70">
        <f>SUM(D56:D58)</f>
        <v>173</v>
      </c>
      <c r="E59" s="70">
        <f t="shared" ref="E59:H59" si="12">SUM(E56:E58)</f>
        <v>1808</v>
      </c>
      <c r="F59" s="70">
        <f t="shared" si="12"/>
        <v>228</v>
      </c>
      <c r="G59" s="70">
        <f t="shared" si="12"/>
        <v>413</v>
      </c>
      <c r="H59" s="70">
        <f t="shared" si="12"/>
        <v>219</v>
      </c>
      <c r="J59"/>
      <c r="K59" s="66" t="s">
        <v>38</v>
      </c>
      <c r="L59" s="73">
        <f>SUM(L56:L58)</f>
        <v>35475</v>
      </c>
      <c r="M59" s="73">
        <f t="shared" ref="M59:P59" si="13">SUM(M56:M58)</f>
        <v>580212.5</v>
      </c>
      <c r="N59" s="73">
        <f t="shared" si="13"/>
        <v>170357.36</v>
      </c>
      <c r="O59" s="73">
        <f t="shared" si="13"/>
        <v>137722.76</v>
      </c>
      <c r="P59" s="73">
        <f t="shared" si="13"/>
        <v>203249.82</v>
      </c>
      <c r="R59" s="144"/>
    </row>
    <row r="60" spans="2:18" ht="15" x14ac:dyDescent="0.25">
      <c r="B60"/>
      <c r="C60"/>
      <c r="D60"/>
      <c r="E60"/>
      <c r="F60"/>
      <c r="G60"/>
      <c r="H60"/>
      <c r="J60"/>
      <c r="K60"/>
    </row>
    <row r="61" spans="2:18" x14ac:dyDescent="0.2">
      <c r="C61" s="51"/>
      <c r="D61" s="34" t="s">
        <v>76</v>
      </c>
      <c r="E61" s="34"/>
      <c r="F61" s="34"/>
      <c r="G61" s="34"/>
      <c r="H61" s="34"/>
      <c r="K61" s="51"/>
      <c r="L61" s="34" t="s">
        <v>111</v>
      </c>
      <c r="M61" s="34"/>
      <c r="N61" s="34"/>
      <c r="O61" s="34"/>
      <c r="P61" s="34"/>
    </row>
    <row r="62" spans="2:18" x14ac:dyDescent="0.2">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8" ht="15" x14ac:dyDescent="0.25">
      <c r="B63"/>
      <c r="C63" s="9" t="s">
        <v>65</v>
      </c>
      <c r="D63" s="146"/>
      <c r="E63" s="146"/>
      <c r="F63" s="59">
        <v>204</v>
      </c>
      <c r="G63" s="146"/>
      <c r="H63" s="59">
        <v>173</v>
      </c>
      <c r="J63"/>
      <c r="K63" s="9" t="s">
        <v>65</v>
      </c>
      <c r="L63" s="147"/>
      <c r="M63" s="147"/>
      <c r="N63" s="71">
        <v>153353.46</v>
      </c>
      <c r="O63" s="147"/>
      <c r="P63" s="71">
        <v>154101.28</v>
      </c>
    </row>
    <row r="64" spans="2:18" ht="15" x14ac:dyDescent="0.25">
      <c r="B64"/>
      <c r="C64" s="9" t="s">
        <v>66</v>
      </c>
      <c r="D64" s="59">
        <v>93</v>
      </c>
      <c r="E64" s="59">
        <v>1197</v>
      </c>
      <c r="F64" s="146"/>
      <c r="G64" s="181">
        <f>375+54</f>
        <v>429</v>
      </c>
      <c r="H64" s="146"/>
      <c r="J64"/>
      <c r="K64" s="9" t="s">
        <v>66</v>
      </c>
      <c r="L64" s="71">
        <v>15375</v>
      </c>
      <c r="M64" s="71">
        <f>398140+13350+4255</f>
        <v>415745</v>
      </c>
      <c r="N64" s="147"/>
      <c r="O64" s="183">
        <f>133343.4+14850</f>
        <v>148193.4</v>
      </c>
      <c r="P64" s="147"/>
    </row>
    <row r="65" spans="2:18" ht="15.75" thickBot="1" x14ac:dyDescent="0.3">
      <c r="B65"/>
      <c r="C65" s="11" t="s">
        <v>67</v>
      </c>
      <c r="D65" s="69">
        <v>0</v>
      </c>
      <c r="E65" s="69">
        <v>0</v>
      </c>
      <c r="F65" s="69">
        <v>0</v>
      </c>
      <c r="G65" s="182">
        <v>0</v>
      </c>
      <c r="H65" s="69">
        <v>24</v>
      </c>
      <c r="J65"/>
      <c r="K65" s="11" t="s">
        <v>67</v>
      </c>
      <c r="L65" s="72">
        <v>0</v>
      </c>
      <c r="M65" s="72">
        <v>0</v>
      </c>
      <c r="N65" s="72">
        <v>0</v>
      </c>
      <c r="O65" s="184">
        <v>0</v>
      </c>
      <c r="P65" s="72">
        <v>21306.38</v>
      </c>
    </row>
    <row r="66" spans="2:18" ht="15.75" thickTop="1" x14ac:dyDescent="0.25">
      <c r="B66"/>
      <c r="C66" s="66" t="s">
        <v>38</v>
      </c>
      <c r="D66" s="70">
        <f>SUM(D63:D65)</f>
        <v>93</v>
      </c>
      <c r="E66" s="70">
        <f t="shared" ref="E66:H66" si="14">SUM(E63:E65)</f>
        <v>1197</v>
      </c>
      <c r="F66" s="70">
        <f t="shared" si="14"/>
        <v>204</v>
      </c>
      <c r="G66" s="70">
        <f t="shared" si="14"/>
        <v>429</v>
      </c>
      <c r="H66" s="70">
        <f t="shared" si="14"/>
        <v>197</v>
      </c>
      <c r="J66"/>
      <c r="K66" s="66" t="s">
        <v>38</v>
      </c>
      <c r="L66" s="73">
        <f>SUM(L63:L65)</f>
        <v>15375</v>
      </c>
      <c r="M66" s="73">
        <f t="shared" ref="M66" si="15">SUM(M63:M65)</f>
        <v>415745</v>
      </c>
      <c r="N66" s="73">
        <f t="shared" ref="N66" si="16">SUM(N63:N65)</f>
        <v>153353.46</v>
      </c>
      <c r="O66" s="73">
        <f t="shared" ref="O66" si="17">SUM(O63:O65)</f>
        <v>148193.4</v>
      </c>
      <c r="P66" s="73">
        <f t="shared" ref="P66" si="18">SUM(P63:P65)</f>
        <v>175407.66</v>
      </c>
      <c r="R66" s="144"/>
    </row>
    <row r="67" spans="2:18" ht="15" x14ac:dyDescent="0.25">
      <c r="B67"/>
      <c r="C67"/>
      <c r="D67"/>
      <c r="E67"/>
      <c r="F67"/>
      <c r="G67"/>
      <c r="H67"/>
      <c r="J67"/>
      <c r="K67"/>
    </row>
    <row r="68" spans="2:18" x14ac:dyDescent="0.2">
      <c r="C68" s="51"/>
      <c r="D68" s="34" t="s">
        <v>76</v>
      </c>
      <c r="E68" s="34"/>
      <c r="F68" s="34"/>
      <c r="G68" s="34"/>
      <c r="H68" s="34"/>
      <c r="K68" s="51"/>
      <c r="L68" s="34" t="s">
        <v>111</v>
      </c>
      <c r="M68" s="34"/>
      <c r="N68" s="34"/>
      <c r="O68" s="34"/>
      <c r="P68" s="34"/>
    </row>
    <row r="69" spans="2:18" x14ac:dyDescent="0.2">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8" ht="12.75" customHeight="1" x14ac:dyDescent="0.25">
      <c r="B70"/>
      <c r="C70" s="9" t="s">
        <v>65</v>
      </c>
      <c r="D70" s="146"/>
      <c r="E70" s="146"/>
      <c r="F70" s="59">
        <v>184</v>
      </c>
      <c r="G70" s="146"/>
      <c r="H70" s="59">
        <v>213</v>
      </c>
      <c r="J70"/>
      <c r="K70" s="9" t="s">
        <v>65</v>
      </c>
      <c r="L70" s="147"/>
      <c r="M70" s="147"/>
      <c r="N70" s="71">
        <v>141507.14000000001</v>
      </c>
      <c r="O70" s="147"/>
      <c r="P70" s="71">
        <v>199140.92</v>
      </c>
    </row>
    <row r="71" spans="2:18" ht="15" x14ac:dyDescent="0.25">
      <c r="B71"/>
      <c r="C71" s="9" t="s">
        <v>66</v>
      </c>
      <c r="D71" s="59">
        <v>110</v>
      </c>
      <c r="E71" s="59">
        <v>1559</v>
      </c>
      <c r="F71" s="146"/>
      <c r="G71" s="181">
        <f>443+68</f>
        <v>511</v>
      </c>
      <c r="H71" s="146"/>
      <c r="J71"/>
      <c r="K71" s="9" t="s">
        <v>66</v>
      </c>
      <c r="L71" s="71">
        <v>18850</v>
      </c>
      <c r="M71" s="71">
        <f>483627.5+13350+4255</f>
        <v>501232.5</v>
      </c>
      <c r="N71" s="147"/>
      <c r="O71" s="183">
        <f>157840.92+18700</f>
        <v>176540.92</v>
      </c>
      <c r="P71" s="147"/>
    </row>
    <row r="72" spans="2:18" ht="15.75" thickBot="1" x14ac:dyDescent="0.3">
      <c r="B72"/>
      <c r="C72" s="11" t="s">
        <v>67</v>
      </c>
      <c r="D72" s="69">
        <v>0</v>
      </c>
      <c r="E72" s="69">
        <v>0</v>
      </c>
      <c r="F72" s="69">
        <v>5</v>
      </c>
      <c r="G72" s="182">
        <v>0</v>
      </c>
      <c r="H72" s="69">
        <v>33</v>
      </c>
      <c r="J72"/>
      <c r="K72" s="11" t="s">
        <v>67</v>
      </c>
      <c r="L72" s="72">
        <v>0</v>
      </c>
      <c r="M72" s="72">
        <v>0</v>
      </c>
      <c r="N72" s="72">
        <v>3347.5</v>
      </c>
      <c r="O72" s="184">
        <v>0</v>
      </c>
      <c r="P72" s="72">
        <v>31111.78</v>
      </c>
    </row>
    <row r="73" spans="2:18" ht="15.75" thickTop="1" x14ac:dyDescent="0.25">
      <c r="B73"/>
      <c r="C73" s="66" t="s">
        <v>38</v>
      </c>
      <c r="D73" s="70">
        <f>SUM(D70:D72)</f>
        <v>110</v>
      </c>
      <c r="E73" s="70">
        <f t="shared" ref="E73" si="19">SUM(E70:E72)</f>
        <v>1559</v>
      </c>
      <c r="F73" s="70">
        <f t="shared" ref="F73" si="20">SUM(F70:F72)</f>
        <v>189</v>
      </c>
      <c r="G73" s="70">
        <f t="shared" ref="G73" si="21">SUM(G70:G72)</f>
        <v>511</v>
      </c>
      <c r="H73" s="70">
        <f t="shared" ref="H73" si="22">SUM(H70:H72)</f>
        <v>246</v>
      </c>
      <c r="J73"/>
      <c r="K73" s="66" t="s">
        <v>38</v>
      </c>
      <c r="L73" s="73">
        <f>SUM(L70:L72)</f>
        <v>18850</v>
      </c>
      <c r="M73" s="73">
        <f t="shared" ref="M73" si="23">SUM(M70:M72)</f>
        <v>501232.5</v>
      </c>
      <c r="N73" s="73">
        <f t="shared" ref="N73" si="24">SUM(N70:N72)</f>
        <v>144854.64000000001</v>
      </c>
      <c r="O73" s="73">
        <f t="shared" ref="O73" si="25">SUM(O70:O72)</f>
        <v>176540.92</v>
      </c>
      <c r="P73" s="73">
        <f t="shared" ref="P73" si="26">SUM(P70:P72)</f>
        <v>230252.7</v>
      </c>
      <c r="R73" s="144"/>
    </row>
    <row r="74" spans="2:18" ht="15" x14ac:dyDescent="0.25">
      <c r="B74"/>
      <c r="C74"/>
      <c r="D74"/>
      <c r="E74"/>
      <c r="F74"/>
      <c r="G74"/>
      <c r="H74"/>
      <c r="J74"/>
      <c r="K74"/>
      <c r="L74"/>
      <c r="M74"/>
    </row>
    <row r="75" spans="2:18" x14ac:dyDescent="0.2">
      <c r="C75" s="51"/>
      <c r="D75" s="34" t="s">
        <v>76</v>
      </c>
      <c r="E75" s="34"/>
      <c r="F75" s="34"/>
      <c r="G75" s="34"/>
      <c r="H75" s="34"/>
      <c r="K75" s="51"/>
      <c r="L75" s="34" t="s">
        <v>111</v>
      </c>
      <c r="M75" s="34"/>
      <c r="N75" s="34"/>
      <c r="O75" s="34"/>
      <c r="P75" s="34"/>
    </row>
    <row r="76" spans="2:18" x14ac:dyDescent="0.2">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8" ht="15" x14ac:dyDescent="0.25">
      <c r="B77"/>
      <c r="C77" s="9" t="s">
        <v>65</v>
      </c>
      <c r="D77" s="146"/>
      <c r="E77" s="146"/>
      <c r="F77" s="59">
        <v>215</v>
      </c>
      <c r="G77" s="146"/>
      <c r="H77" s="59">
        <v>158</v>
      </c>
      <c r="J77"/>
      <c r="K77" s="9" t="s">
        <v>65</v>
      </c>
      <c r="L77" s="147"/>
      <c r="M77" s="147"/>
      <c r="N77" s="71">
        <v>164590</v>
      </c>
      <c r="O77" s="147"/>
      <c r="P77" s="71">
        <v>141177.88</v>
      </c>
    </row>
    <row r="78" spans="2:18" ht="15" x14ac:dyDescent="0.25">
      <c r="B78"/>
      <c r="C78" s="9" t="s">
        <v>66</v>
      </c>
      <c r="D78" s="59">
        <v>85</v>
      </c>
      <c r="E78" s="59">
        <v>1499</v>
      </c>
      <c r="F78" s="146"/>
      <c r="G78" s="181">
        <f>363+60</f>
        <v>423</v>
      </c>
      <c r="H78" s="146"/>
      <c r="J78"/>
      <c r="K78" s="9" t="s">
        <v>66</v>
      </c>
      <c r="L78" s="71">
        <v>23225</v>
      </c>
      <c r="M78" s="71">
        <f>485815+13350+4255</f>
        <v>503420</v>
      </c>
      <c r="N78" s="147"/>
      <c r="O78" s="183">
        <f>129742.8+16500</f>
        <v>146242.79999999999</v>
      </c>
      <c r="P78" s="147"/>
    </row>
    <row r="79" spans="2:18" ht="15.75" thickBot="1" x14ac:dyDescent="0.3">
      <c r="B79"/>
      <c r="C79" s="11" t="s">
        <v>67</v>
      </c>
      <c r="D79" s="69">
        <v>0</v>
      </c>
      <c r="E79" s="69">
        <v>0</v>
      </c>
      <c r="F79" s="69">
        <v>16</v>
      </c>
      <c r="G79" s="182">
        <v>0</v>
      </c>
      <c r="H79" s="69">
        <v>63</v>
      </c>
      <c r="J79"/>
      <c r="K79" s="11" t="s">
        <v>67</v>
      </c>
      <c r="L79" s="72">
        <v>0</v>
      </c>
      <c r="M79" s="72">
        <v>0</v>
      </c>
      <c r="N79" s="72">
        <v>10712</v>
      </c>
      <c r="O79" s="184">
        <v>0</v>
      </c>
      <c r="P79" s="72">
        <v>58073.78</v>
      </c>
    </row>
    <row r="80" spans="2:18" ht="15.75" thickTop="1" x14ac:dyDescent="0.25">
      <c r="B80"/>
      <c r="C80" s="66" t="s">
        <v>38</v>
      </c>
      <c r="D80" s="70">
        <f>SUM(D77:D79)</f>
        <v>85</v>
      </c>
      <c r="E80" s="70">
        <f t="shared" ref="E80" si="27">SUM(E77:E79)</f>
        <v>1499</v>
      </c>
      <c r="F80" s="70">
        <f t="shared" ref="F80" si="28">SUM(F77:F79)</f>
        <v>231</v>
      </c>
      <c r="G80" s="70">
        <f t="shared" ref="G80" si="29">SUM(G77:G79)</f>
        <v>423</v>
      </c>
      <c r="H80" s="70">
        <f t="shared" ref="H80" si="30">SUM(H77:H79)</f>
        <v>221</v>
      </c>
      <c r="J80"/>
      <c r="K80" s="66" t="s">
        <v>38</v>
      </c>
      <c r="L80" s="73">
        <f>SUM(L77:L79)</f>
        <v>23225</v>
      </c>
      <c r="M80" s="73">
        <f t="shared" ref="M80" si="31">SUM(M77:M79)</f>
        <v>503420</v>
      </c>
      <c r="N80" s="73">
        <f t="shared" ref="N80" si="32">SUM(N77:N79)</f>
        <v>175302</v>
      </c>
      <c r="O80" s="73">
        <f t="shared" ref="O80" si="33">SUM(O77:O79)</f>
        <v>146242.79999999999</v>
      </c>
      <c r="P80" s="73">
        <f t="shared" ref="P80" si="34">SUM(P77:P79)</f>
        <v>199251.66</v>
      </c>
      <c r="R80" s="144"/>
    </row>
    <row r="81" spans="2:18" ht="15" x14ac:dyDescent="0.25">
      <c r="B81"/>
      <c r="C81"/>
      <c r="D81"/>
      <c r="E81"/>
      <c r="F81"/>
      <c r="G81"/>
      <c r="H81"/>
      <c r="J81"/>
      <c r="K81"/>
      <c r="L81"/>
      <c r="M81"/>
    </row>
    <row r="82" spans="2:18" x14ac:dyDescent="0.2">
      <c r="C82" s="51"/>
      <c r="D82" s="34" t="s">
        <v>76</v>
      </c>
      <c r="E82" s="34"/>
      <c r="F82" s="34"/>
      <c r="G82" s="34"/>
      <c r="H82" s="34"/>
      <c r="K82" s="51"/>
      <c r="L82" s="34" t="s">
        <v>111</v>
      </c>
      <c r="M82" s="34"/>
      <c r="N82" s="34"/>
      <c r="O82" s="34"/>
      <c r="P82" s="34"/>
    </row>
    <row r="83" spans="2:18" x14ac:dyDescent="0.2">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8" ht="15" x14ac:dyDescent="0.25">
      <c r="B84"/>
      <c r="C84" s="9" t="s">
        <v>65</v>
      </c>
      <c r="D84" s="146"/>
      <c r="E84" s="146"/>
      <c r="F84" s="59">
        <v>191</v>
      </c>
      <c r="G84" s="146"/>
      <c r="H84" s="59">
        <v>216</v>
      </c>
      <c r="J84"/>
      <c r="K84" s="9" t="s">
        <v>65</v>
      </c>
      <c r="L84" s="147"/>
      <c r="M84" s="147"/>
      <c r="N84" s="71">
        <v>151240</v>
      </c>
      <c r="O84" s="147"/>
      <c r="P84" s="71">
        <v>201233.64</v>
      </c>
    </row>
    <row r="85" spans="2:18" ht="15" x14ac:dyDescent="0.25">
      <c r="B85"/>
      <c r="C85" s="9" t="s">
        <v>66</v>
      </c>
      <c r="D85" s="59">
        <v>77</v>
      </c>
      <c r="E85" s="59">
        <v>1412</v>
      </c>
      <c r="F85" s="146"/>
      <c r="G85" s="59">
        <v>428</v>
      </c>
      <c r="H85" s="146"/>
      <c r="J85"/>
      <c r="K85" s="9" t="s">
        <v>66</v>
      </c>
      <c r="L85" s="71">
        <v>21175</v>
      </c>
      <c r="M85" s="71">
        <f>443196.5+13350+4255</f>
        <v>460801.5</v>
      </c>
      <c r="N85" s="147"/>
      <c r="O85" s="71">
        <v>156510.20000000001</v>
      </c>
      <c r="P85" s="147"/>
    </row>
    <row r="86" spans="2:18" ht="15.75" thickBot="1" x14ac:dyDescent="0.3">
      <c r="B86"/>
      <c r="C86" s="11" t="s">
        <v>67</v>
      </c>
      <c r="D86" s="69">
        <v>0</v>
      </c>
      <c r="E86" s="69">
        <v>0</v>
      </c>
      <c r="F86" s="69">
        <v>0</v>
      </c>
      <c r="G86" s="69">
        <v>0</v>
      </c>
      <c r="H86" s="69">
        <v>67</v>
      </c>
      <c r="J86"/>
      <c r="K86" s="11" t="s">
        <v>67</v>
      </c>
      <c r="L86" s="72">
        <v>0</v>
      </c>
      <c r="M86" s="72">
        <v>0</v>
      </c>
      <c r="N86" s="72">
        <v>0</v>
      </c>
      <c r="O86" s="72">
        <v>0</v>
      </c>
      <c r="P86" s="72">
        <v>64759.839999999997</v>
      </c>
    </row>
    <row r="87" spans="2:18" ht="15.75" thickTop="1" x14ac:dyDescent="0.25">
      <c r="B87"/>
      <c r="C87" s="66" t="s">
        <v>38</v>
      </c>
      <c r="D87" s="70">
        <f>SUM(D84:D86)</f>
        <v>77</v>
      </c>
      <c r="E87" s="70">
        <f t="shared" ref="E87" si="35">SUM(E84:E86)</f>
        <v>1412</v>
      </c>
      <c r="F87" s="70">
        <f t="shared" ref="F87" si="36">SUM(F84:F86)</f>
        <v>191</v>
      </c>
      <c r="G87" s="70">
        <f t="shared" ref="G87" si="37">SUM(G84:G86)</f>
        <v>428</v>
      </c>
      <c r="H87" s="70">
        <f t="shared" ref="H87" si="38">SUM(H84:H86)</f>
        <v>283</v>
      </c>
      <c r="J87"/>
      <c r="K87" s="66" t="s">
        <v>38</v>
      </c>
      <c r="L87" s="73">
        <f>SUM(L84:L86)</f>
        <v>21175</v>
      </c>
      <c r="M87" s="73">
        <f t="shared" ref="M87" si="39">SUM(M84:M86)</f>
        <v>460801.5</v>
      </c>
      <c r="N87" s="73">
        <f t="shared" ref="N87" si="40">SUM(N84:N86)</f>
        <v>151240</v>
      </c>
      <c r="O87" s="73">
        <f t="shared" ref="O87" si="41">SUM(O84:O86)</f>
        <v>156510.20000000001</v>
      </c>
      <c r="P87" s="73">
        <f t="shared" ref="P87" si="42">SUM(P84:P86)</f>
        <v>265993.48</v>
      </c>
      <c r="R87" s="144"/>
    </row>
    <row r="88" spans="2:18" ht="15" x14ac:dyDescent="0.25">
      <c r="B88"/>
      <c r="C88"/>
      <c r="D88"/>
      <c r="E88"/>
      <c r="F88"/>
      <c r="G88"/>
      <c r="H88"/>
      <c r="J88"/>
      <c r="K88"/>
      <c r="L88"/>
      <c r="M88"/>
    </row>
    <row r="89" spans="2:18" x14ac:dyDescent="0.2">
      <c r="C89" s="51"/>
      <c r="D89" s="34" t="s">
        <v>76</v>
      </c>
      <c r="E89" s="34"/>
      <c r="F89" s="34"/>
      <c r="G89" s="34"/>
      <c r="H89" s="34"/>
      <c r="K89" s="51"/>
      <c r="L89" s="34" t="s">
        <v>111</v>
      </c>
      <c r="M89" s="34"/>
      <c r="N89" s="34"/>
      <c r="O89" s="34"/>
      <c r="P89" s="34"/>
    </row>
    <row r="90" spans="2:18" x14ac:dyDescent="0.2">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8" ht="15" x14ac:dyDescent="0.25">
      <c r="B91"/>
      <c r="C91" s="9" t="s">
        <v>65</v>
      </c>
      <c r="D91" s="146"/>
      <c r="E91" s="146"/>
      <c r="F91" s="59">
        <v>158</v>
      </c>
      <c r="G91" s="146"/>
      <c r="H91" s="59">
        <v>169</v>
      </c>
      <c r="J91"/>
      <c r="K91" s="9" t="s">
        <v>65</v>
      </c>
      <c r="L91" s="147"/>
      <c r="M91" s="147"/>
      <c r="N91" s="71">
        <v>118613.26</v>
      </c>
      <c r="O91" s="147"/>
      <c r="P91" s="71">
        <v>157842.73000000001</v>
      </c>
    </row>
    <row r="92" spans="2:18" ht="15" x14ac:dyDescent="0.25">
      <c r="B92"/>
      <c r="C92" s="9" t="s">
        <v>66</v>
      </c>
      <c r="D92" s="59">
        <v>118</v>
      </c>
      <c r="E92" s="59">
        <v>992</v>
      </c>
      <c r="F92" s="146"/>
      <c r="G92" s="181">
        <f>335+63</f>
        <v>398</v>
      </c>
      <c r="H92" s="146"/>
      <c r="J92"/>
      <c r="K92" s="9" t="s">
        <v>66</v>
      </c>
      <c r="L92" s="71">
        <v>25450</v>
      </c>
      <c r="M92" s="71">
        <f>329372.5+13350+4255</f>
        <v>346977.5</v>
      </c>
      <c r="N92" s="147"/>
      <c r="O92" s="183">
        <f>118707.04+17325</f>
        <v>136032.03999999998</v>
      </c>
      <c r="P92" s="147"/>
    </row>
    <row r="93" spans="2:18" ht="15.75" thickBot="1" x14ac:dyDescent="0.3">
      <c r="B93"/>
      <c r="C93" s="11" t="s">
        <v>67</v>
      </c>
      <c r="D93" s="69">
        <v>0</v>
      </c>
      <c r="E93" s="69">
        <v>0</v>
      </c>
      <c r="F93" s="69">
        <v>8</v>
      </c>
      <c r="G93" s="182">
        <v>0</v>
      </c>
      <c r="H93" s="69">
        <v>96</v>
      </c>
      <c r="J93"/>
      <c r="K93" s="11" t="s">
        <v>67</v>
      </c>
      <c r="L93" s="72">
        <v>0</v>
      </c>
      <c r="M93" s="72">
        <v>0</v>
      </c>
      <c r="N93" s="72">
        <v>5356</v>
      </c>
      <c r="O93" s="184">
        <v>0</v>
      </c>
      <c r="P93" s="72">
        <v>87299.38</v>
      </c>
    </row>
    <row r="94" spans="2:18" ht="15.75" thickTop="1" x14ac:dyDescent="0.25">
      <c r="B94"/>
      <c r="C94" s="66" t="s">
        <v>38</v>
      </c>
      <c r="D94" s="70">
        <f>SUM(D91:D93)</f>
        <v>118</v>
      </c>
      <c r="E94" s="70">
        <f t="shared" ref="E94" si="43">SUM(E91:E93)</f>
        <v>992</v>
      </c>
      <c r="F94" s="70">
        <f t="shared" ref="F94" si="44">SUM(F91:F93)</f>
        <v>166</v>
      </c>
      <c r="G94" s="70">
        <f t="shared" ref="G94" si="45">SUM(G91:G93)</f>
        <v>398</v>
      </c>
      <c r="H94" s="70">
        <f t="shared" ref="H94" si="46">SUM(H91:H93)</f>
        <v>265</v>
      </c>
      <c r="J94"/>
      <c r="K94" s="66" t="s">
        <v>38</v>
      </c>
      <c r="L94" s="73">
        <f>SUM(L91:L93)</f>
        <v>25450</v>
      </c>
      <c r="M94" s="73">
        <f t="shared" ref="M94" si="47">SUM(M91:M93)</f>
        <v>346977.5</v>
      </c>
      <c r="N94" s="73">
        <f t="shared" ref="N94" si="48">SUM(N91:N93)</f>
        <v>123969.26</v>
      </c>
      <c r="O94" s="73">
        <f t="shared" ref="O94" si="49">SUM(O91:O93)</f>
        <v>136032.03999999998</v>
      </c>
      <c r="P94" s="73">
        <f t="shared" ref="P94" si="50">SUM(P91:P93)</f>
        <v>245142.11000000002</v>
      </c>
      <c r="R94" s="144"/>
    </row>
    <row r="95" spans="2:18" ht="15" x14ac:dyDescent="0.25">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L62:N62 D69:F69 L69:N69 L76:N76 D76:F76 D83:F83 L83:N83 L90:N90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4"/>
  <sheetViews>
    <sheetView zoomScaleNormal="100" zoomScaleSheetLayoutView="70" workbookViewId="0">
      <selection activeCell="F56" sqref="F56"/>
    </sheetView>
  </sheetViews>
  <sheetFormatPr defaultColWidth="8.7109375" defaultRowHeight="12.75" x14ac:dyDescent="0.2"/>
  <cols>
    <col min="1" max="1" width="2.28515625" style="8" customWidth="1"/>
    <col min="2" max="2" width="12.5703125" style="8" customWidth="1"/>
    <col min="3" max="3" width="21.28515625" style="8" customWidth="1"/>
    <col min="4" max="4" width="15.140625" style="8" bestFit="1" customWidth="1"/>
    <col min="5" max="5" width="12.28515625" style="8" customWidth="1"/>
    <col min="6" max="6" width="15.140625" style="8" bestFit="1" customWidth="1"/>
    <col min="7" max="7" width="13.28515625" style="8" customWidth="1"/>
    <col min="8" max="8" width="11.28515625" style="8" customWidth="1"/>
    <col min="9" max="9" width="12.7109375" style="8" customWidth="1"/>
    <col min="10" max="10" width="13.28515625" style="8" customWidth="1"/>
    <col min="11" max="11" width="2.28515625" style="8" customWidth="1"/>
    <col min="12" max="12" width="18.28515625" style="8" bestFit="1" customWidth="1"/>
    <col min="13" max="18" width="14.7109375" style="8" customWidth="1"/>
    <col min="19" max="19" width="2.28515625" style="8" customWidth="1"/>
    <col min="20" max="20" width="11" style="8" bestFit="1" customWidth="1"/>
    <col min="21" max="21" width="18.28515625" style="8" bestFit="1" customWidth="1"/>
    <col min="22" max="27" width="13" style="8" customWidth="1"/>
    <col min="28" max="28" width="27.5703125" style="8" bestFit="1" customWidth="1"/>
    <col min="29" max="16384" width="8.7109375" style="8"/>
  </cols>
  <sheetData>
    <row r="2" spans="2:12" x14ac:dyDescent="0.2">
      <c r="B2" s="12" t="s">
        <v>105</v>
      </c>
      <c r="C2" s="13" t="str">
        <f>Overview!$C$11</f>
        <v>Rocky Mountain Health Plans</v>
      </c>
    </row>
    <row r="3" spans="2:12" x14ac:dyDescent="0.2">
      <c r="B3" s="12" t="s">
        <v>114</v>
      </c>
      <c r="C3" s="142">
        <f>Overview!C12</f>
        <v>1</v>
      </c>
    </row>
    <row r="4" spans="2:12" x14ac:dyDescent="0.2">
      <c r="B4" s="12" t="s">
        <v>27</v>
      </c>
      <c r="C4" s="14" t="s">
        <v>83</v>
      </c>
    </row>
    <row r="5" spans="2:12" x14ac:dyDescent="0.2">
      <c r="B5" s="12" t="s">
        <v>28</v>
      </c>
      <c r="C5" s="13" t="str">
        <f>Overview!C13</f>
        <v>July 1, 2021 - June 30, 2022</v>
      </c>
    </row>
    <row r="6" spans="2:12" x14ac:dyDescent="0.2">
      <c r="B6" s="12"/>
      <c r="C6" s="13"/>
      <c r="L6" s="13"/>
    </row>
    <row r="7" spans="2:12" x14ac:dyDescent="0.2">
      <c r="C7" s="51"/>
      <c r="D7" s="34" t="s">
        <v>76</v>
      </c>
      <c r="E7" s="34"/>
      <c r="F7" s="34"/>
      <c r="G7" s="34"/>
      <c r="H7" s="34"/>
      <c r="I7" s="34"/>
    </row>
    <row r="8" spans="2:12" x14ac:dyDescent="0.2">
      <c r="B8" s="34" t="s">
        <v>38</v>
      </c>
      <c r="C8" s="52" t="s">
        <v>64</v>
      </c>
      <c r="D8" s="54" t="s">
        <v>77</v>
      </c>
      <c r="E8" s="54" t="s">
        <v>78</v>
      </c>
      <c r="F8" s="54" t="s">
        <v>79</v>
      </c>
      <c r="G8" s="52" t="s">
        <v>62</v>
      </c>
      <c r="H8" s="52" t="s">
        <v>63</v>
      </c>
      <c r="I8" s="52" t="s">
        <v>38</v>
      </c>
    </row>
    <row r="9" spans="2:12" ht="15" x14ac:dyDescent="0.25">
      <c r="B9"/>
      <c r="C9" s="9" t="s">
        <v>65</v>
      </c>
      <c r="D9" s="92">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2">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2">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1728</v>
      </c>
      <c r="G9" s="92">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0</v>
      </c>
      <c r="H9" s="92">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1948</v>
      </c>
      <c r="I9" s="92">
        <f>SUM(D9:H9)</f>
        <v>3676</v>
      </c>
    </row>
    <row r="10" spans="2:12" ht="15" x14ac:dyDescent="0.25">
      <c r="B10"/>
      <c r="C10" s="9" t="s">
        <v>66</v>
      </c>
      <c r="D10" s="92">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748</v>
      </c>
      <c r="E10" s="92">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14970</v>
      </c>
      <c r="F10" s="92">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0</v>
      </c>
      <c r="G10" s="185">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5399</v>
      </c>
      <c r="H10" s="92">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185">
        <f t="shared" ref="I10:I12" si="0">SUM(D10:H10)</f>
        <v>21117</v>
      </c>
    </row>
    <row r="11" spans="2:12" ht="15.75" thickBot="1" x14ac:dyDescent="0.3">
      <c r="B11"/>
      <c r="C11" s="11" t="s">
        <v>67</v>
      </c>
      <c r="D11" s="93">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3">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3">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45</v>
      </c>
      <c r="G11" s="186">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0</v>
      </c>
      <c r="H11" s="93">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546</v>
      </c>
      <c r="I11" s="186">
        <f t="shared" si="0"/>
        <v>591</v>
      </c>
    </row>
    <row r="12" spans="2:12" ht="15.75" thickTop="1" x14ac:dyDescent="0.25">
      <c r="B12"/>
      <c r="C12" s="66" t="s">
        <v>38</v>
      </c>
      <c r="D12" s="94">
        <f>SUM(D9:D11)</f>
        <v>748</v>
      </c>
      <c r="E12" s="94">
        <f t="shared" ref="E12:H12" si="1">SUM(E9:E11)</f>
        <v>14970</v>
      </c>
      <c r="F12" s="94">
        <f t="shared" si="1"/>
        <v>1773</v>
      </c>
      <c r="G12" s="94">
        <f t="shared" si="1"/>
        <v>5399</v>
      </c>
      <c r="H12" s="94">
        <f t="shared" si="1"/>
        <v>2494</v>
      </c>
      <c r="I12" s="94">
        <f t="shared" si="0"/>
        <v>25384</v>
      </c>
    </row>
    <row r="13" spans="2:12" ht="15" x14ac:dyDescent="0.25">
      <c r="B13"/>
      <c r="C13"/>
      <c r="D13"/>
      <c r="E13"/>
      <c r="F13"/>
      <c r="G13"/>
      <c r="H13"/>
      <c r="I13"/>
      <c r="L13"/>
    </row>
    <row r="14" spans="2:12" ht="15" x14ac:dyDescent="0.25">
      <c r="C14" s="51"/>
      <c r="D14" s="34" t="s">
        <v>111</v>
      </c>
      <c r="E14" s="34"/>
      <c r="F14" s="34"/>
      <c r="G14" s="34"/>
      <c r="H14" s="34"/>
      <c r="I14" s="34"/>
      <c r="L14"/>
    </row>
    <row r="15" spans="2:12" ht="15" x14ac:dyDescent="0.25">
      <c r="B15" s="34" t="str">
        <f>B8</f>
        <v>Total</v>
      </c>
      <c r="C15" s="52" t="s">
        <v>64</v>
      </c>
      <c r="D15" s="54" t="s">
        <v>77</v>
      </c>
      <c r="E15" s="54" t="s">
        <v>78</v>
      </c>
      <c r="F15" s="54" t="s">
        <v>79</v>
      </c>
      <c r="G15" s="52" t="s">
        <v>62</v>
      </c>
      <c r="H15" s="52" t="s">
        <v>63</v>
      </c>
      <c r="I15" s="52" t="s">
        <v>38</v>
      </c>
      <c r="L15"/>
    </row>
    <row r="16" spans="2:12" ht="15" x14ac:dyDescent="0.25">
      <c r="B16"/>
      <c r="C16" s="9" t="s">
        <v>65</v>
      </c>
      <c r="D16" s="95">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5">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5">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1222247.6199999999</v>
      </c>
      <c r="G16" s="95">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0</v>
      </c>
      <c r="H16" s="95">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1846898.3400000003</v>
      </c>
      <c r="I16" s="95">
        <f>SUM(D16:H16)</f>
        <v>3069145.96</v>
      </c>
      <c r="L16"/>
    </row>
    <row r="17" spans="2:14" ht="15" x14ac:dyDescent="0.25">
      <c r="B17"/>
      <c r="C17" s="9" t="s">
        <v>66</v>
      </c>
      <c r="D17" s="95">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157800</v>
      </c>
      <c r="E17" s="95">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4706111.59</v>
      </c>
      <c r="F17" s="95">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0</v>
      </c>
      <c r="G17" s="187">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1860057.8399999999</v>
      </c>
      <c r="H17" s="95">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187">
        <f t="shared" ref="I17:I19" si="2">SUM(D17:H17)</f>
        <v>6723969.4299999997</v>
      </c>
      <c r="L17"/>
    </row>
    <row r="18" spans="2:14" ht="15.75" thickBot="1" x14ac:dyDescent="0.3">
      <c r="B18"/>
      <c r="C18" s="11" t="s">
        <v>67</v>
      </c>
      <c r="D18" s="96">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6">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6">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29952</v>
      </c>
      <c r="G18" s="188">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0</v>
      </c>
      <c r="H18" s="96">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490503.18999999994</v>
      </c>
      <c r="I18" s="188">
        <f t="shared" si="2"/>
        <v>520455.18999999994</v>
      </c>
      <c r="L18"/>
    </row>
    <row r="19" spans="2:14" ht="15.75" thickTop="1" x14ac:dyDescent="0.25">
      <c r="B19"/>
      <c r="C19" s="66" t="s">
        <v>38</v>
      </c>
      <c r="D19" s="97">
        <f>SUM(D16:D18)</f>
        <v>157800</v>
      </c>
      <c r="E19" s="97">
        <f t="shared" ref="E19:H19" si="3">SUM(E16:E18)</f>
        <v>4706111.59</v>
      </c>
      <c r="F19" s="97">
        <f t="shared" si="3"/>
        <v>1252199.6199999999</v>
      </c>
      <c r="G19" s="97">
        <f t="shared" si="3"/>
        <v>1860057.8399999999</v>
      </c>
      <c r="H19" s="97">
        <f t="shared" si="3"/>
        <v>2337401.5300000003</v>
      </c>
      <c r="I19" s="97">
        <f t="shared" si="2"/>
        <v>10313570.58</v>
      </c>
      <c r="L19"/>
    </row>
    <row r="20" spans="2:14" ht="15" x14ac:dyDescent="0.25">
      <c r="B20"/>
      <c r="C20"/>
      <c r="D20"/>
      <c r="E20"/>
      <c r="F20"/>
      <c r="G20"/>
      <c r="H20"/>
      <c r="I20"/>
      <c r="L20"/>
    </row>
    <row r="21" spans="2:14" ht="15" x14ac:dyDescent="0.25">
      <c r="C21" s="51"/>
      <c r="D21" s="34" t="s">
        <v>84</v>
      </c>
      <c r="E21" s="34"/>
      <c r="F21" s="34"/>
      <c r="G21" s="34"/>
      <c r="H21" s="34"/>
      <c r="I21" s="34"/>
      <c r="J21"/>
      <c r="L21"/>
    </row>
    <row r="22" spans="2:14" ht="15" x14ac:dyDescent="0.25">
      <c r="B22" s="122" t="str">
        <f>B15</f>
        <v>Total</v>
      </c>
      <c r="C22" s="102" t="s">
        <v>64</v>
      </c>
      <c r="D22" s="103" t="s">
        <v>77</v>
      </c>
      <c r="E22" s="103" t="s">
        <v>78</v>
      </c>
      <c r="F22" s="103" t="s">
        <v>79</v>
      </c>
      <c r="G22" s="102" t="s">
        <v>62</v>
      </c>
      <c r="H22" s="102" t="s">
        <v>63</v>
      </c>
      <c r="I22" s="102" t="s">
        <v>125</v>
      </c>
      <c r="J22"/>
      <c r="L22"/>
    </row>
    <row r="23" spans="2:14" ht="15" x14ac:dyDescent="0.25">
      <c r="B23"/>
      <c r="C23" s="9" t="s">
        <v>65</v>
      </c>
      <c r="D23" s="35">
        <f t="shared" ref="D23:H26" si="4">IF(D9 = 0,0,D16/D9)</f>
        <v>0</v>
      </c>
      <c r="E23" s="35">
        <f t="shared" si="4"/>
        <v>0</v>
      </c>
      <c r="F23" s="35">
        <f t="shared" si="4"/>
        <v>707.31922453703692</v>
      </c>
      <c r="G23" s="35">
        <f t="shared" si="4"/>
        <v>0</v>
      </c>
      <c r="H23" s="35">
        <f t="shared" si="4"/>
        <v>948.09976386036976</v>
      </c>
      <c r="I23" s="35">
        <f>IF(I9=0,0,SUMPRODUCT(D23:H23,D9:H9)/I9)</f>
        <v>834.91457018498363</v>
      </c>
      <c r="J23"/>
      <c r="L23"/>
    </row>
    <row r="24" spans="2:14" ht="15" x14ac:dyDescent="0.25">
      <c r="B24"/>
      <c r="C24" s="9" t="s">
        <v>66</v>
      </c>
      <c r="D24" s="35">
        <f t="shared" si="4"/>
        <v>210.96256684491979</v>
      </c>
      <c r="E24" s="35">
        <f t="shared" si="4"/>
        <v>314.36951169004675</v>
      </c>
      <c r="F24" s="35">
        <f t="shared" si="4"/>
        <v>0</v>
      </c>
      <c r="G24" s="183">
        <f t="shared" si="4"/>
        <v>344.51895536210407</v>
      </c>
      <c r="H24" s="35">
        <f t="shared" si="4"/>
        <v>0</v>
      </c>
      <c r="I24" s="183">
        <f>IF(I10=0,0,SUMPRODUCT(D24:H24,D10:H10)/I10)</f>
        <v>318.41499408059855</v>
      </c>
      <c r="J24"/>
      <c r="L24"/>
    </row>
    <row r="25" spans="2:14" ht="15.75" thickBot="1" x14ac:dyDescent="0.3">
      <c r="B25"/>
      <c r="C25" s="11" t="s">
        <v>67</v>
      </c>
      <c r="D25" s="74">
        <f t="shared" si="4"/>
        <v>0</v>
      </c>
      <c r="E25" s="74">
        <f t="shared" si="4"/>
        <v>0</v>
      </c>
      <c r="F25" s="74">
        <f t="shared" si="4"/>
        <v>665.6</v>
      </c>
      <c r="G25" s="184">
        <f t="shared" si="4"/>
        <v>0</v>
      </c>
      <c r="H25" s="74">
        <f t="shared" si="4"/>
        <v>898.35749084249073</v>
      </c>
      <c r="I25" s="184">
        <f>IF(I11=0,0,SUMPRODUCT(D25:H25,D11:H11)/I11)</f>
        <v>880.63483925549906</v>
      </c>
      <c r="J25"/>
      <c r="L25"/>
    </row>
    <row r="26" spans="2:14" ht="15.75" thickTop="1" x14ac:dyDescent="0.25">
      <c r="B26"/>
      <c r="C26" s="66" t="s">
        <v>38</v>
      </c>
      <c r="D26" s="73">
        <f t="shared" si="4"/>
        <v>210.96256684491979</v>
      </c>
      <c r="E26" s="73">
        <f t="shared" si="4"/>
        <v>314.36951169004675</v>
      </c>
      <c r="F26" s="73">
        <f t="shared" si="4"/>
        <v>706.26036097010706</v>
      </c>
      <c r="G26" s="73">
        <f t="shared" si="4"/>
        <v>344.51895536210407</v>
      </c>
      <c r="H26" s="73">
        <f t="shared" si="4"/>
        <v>937.20991579791507</v>
      </c>
      <c r="I26" s="73">
        <f>IF(I12=0,0,SUMPRODUCT(D26:H26,D12:H12)/I12)</f>
        <v>406.30202410967541</v>
      </c>
      <c r="J26"/>
      <c r="L26"/>
    </row>
    <row r="27" spans="2:14" ht="15" x14ac:dyDescent="0.25">
      <c r="B27"/>
      <c r="C27"/>
      <c r="D27"/>
      <c r="E27"/>
      <c r="F27"/>
      <c r="G27"/>
      <c r="H27"/>
      <c r="I27"/>
      <c r="L27"/>
    </row>
    <row r="28" spans="2:14" ht="15" x14ac:dyDescent="0.25">
      <c r="B28"/>
      <c r="C28"/>
      <c r="D28"/>
      <c r="E28"/>
      <c r="F28"/>
      <c r="G28"/>
      <c r="H28"/>
      <c r="I28"/>
      <c r="L28"/>
    </row>
    <row r="29" spans="2:14" ht="15" x14ac:dyDescent="0.25">
      <c r="B29" s="75" t="s">
        <v>162</v>
      </c>
      <c r="C29"/>
      <c r="D29"/>
      <c r="E29"/>
      <c r="F29"/>
      <c r="G29"/>
      <c r="H29"/>
      <c r="I29"/>
      <c r="L29"/>
    </row>
    <row r="30" spans="2:14" ht="15" x14ac:dyDescent="0.25">
      <c r="B30"/>
      <c r="C30"/>
      <c r="D30"/>
      <c r="E30"/>
      <c r="F30"/>
      <c r="G30"/>
      <c r="H30"/>
      <c r="I30"/>
      <c r="L30"/>
    </row>
    <row r="31" spans="2:14" ht="15" x14ac:dyDescent="0.25">
      <c r="C31" s="51"/>
      <c r="D31" s="34" t="s">
        <v>85</v>
      </c>
      <c r="E31" s="34"/>
      <c r="F31" s="34"/>
      <c r="G31" s="34"/>
      <c r="H31" s="34"/>
      <c r="I31"/>
      <c r="L31"/>
    </row>
    <row r="32" spans="2:14" ht="15" x14ac:dyDescent="0.25">
      <c r="C32" s="102" t="s">
        <v>86</v>
      </c>
      <c r="D32" s="103" t="s">
        <v>77</v>
      </c>
      <c r="E32" s="103" t="s">
        <v>78</v>
      </c>
      <c r="F32" s="103" t="s">
        <v>79</v>
      </c>
      <c r="G32" s="102" t="s">
        <v>62</v>
      </c>
      <c r="H32" s="102" t="s">
        <v>63</v>
      </c>
      <c r="I32"/>
      <c r="L32"/>
      <c r="M32"/>
      <c r="N32"/>
    </row>
    <row r="33" spans="2:18" ht="15" x14ac:dyDescent="0.25">
      <c r="C33" s="9" t="s">
        <v>87</v>
      </c>
      <c r="D33" s="139">
        <v>184.09825153177468</v>
      </c>
      <c r="E33" s="139">
        <v>275</v>
      </c>
      <c r="F33" s="139">
        <v>650</v>
      </c>
      <c r="G33" s="139">
        <v>340</v>
      </c>
      <c r="H33" s="139">
        <v>960.6205184497702</v>
      </c>
      <c r="I33"/>
      <c r="L33"/>
      <c r="M33"/>
      <c r="N33"/>
    </row>
    <row r="34" spans="2:18" ht="15" x14ac:dyDescent="0.25">
      <c r="I34"/>
      <c r="L34"/>
      <c r="M34"/>
      <c r="N34"/>
    </row>
    <row r="35" spans="2:18" ht="15" x14ac:dyDescent="0.25">
      <c r="C35" s="76" t="s">
        <v>88</v>
      </c>
      <c r="D35" s="76"/>
      <c r="E35" s="76"/>
      <c r="F35"/>
      <c r="I35"/>
    </row>
    <row r="36" spans="2:18" ht="21.4" customHeight="1" x14ac:dyDescent="0.25">
      <c r="C36" s="104" t="s">
        <v>89</v>
      </c>
      <c r="D36" s="104" t="s">
        <v>70</v>
      </c>
      <c r="E36" s="121" t="s">
        <v>165</v>
      </c>
      <c r="F36"/>
      <c r="I36"/>
    </row>
    <row r="37" spans="2:18" ht="15" x14ac:dyDescent="0.25">
      <c r="C37" s="98">
        <f>IF(I12=0,0,(D33*D12+E33*E12+F33*F12+G33*G12+H33*H12)/I12)</f>
        <v>379.70190140086254</v>
      </c>
      <c r="D37" s="10">
        <f>I26</f>
        <v>406.30202410967541</v>
      </c>
      <c r="E37" s="10">
        <f>MIN(C37*1.05,D37)</f>
        <v>398.68699647090568</v>
      </c>
      <c r="F37"/>
    </row>
    <row r="39" spans="2:18" ht="15" x14ac:dyDescent="0.25">
      <c r="B39" s="116" t="s">
        <v>80</v>
      </c>
      <c r="C39" s="116"/>
      <c r="D39" s="116"/>
      <c r="E39" s="116"/>
      <c r="F39" s="116"/>
      <c r="G39"/>
      <c r="H39"/>
    </row>
    <row r="40" spans="2:18" ht="15" x14ac:dyDescent="0.25">
      <c r="B40"/>
      <c r="C40"/>
      <c r="D40"/>
      <c r="E40"/>
      <c r="F40"/>
      <c r="G40"/>
      <c r="H40"/>
    </row>
    <row r="41" spans="2:18" ht="15" x14ac:dyDescent="0.25">
      <c r="B41" s="123" t="s">
        <v>81</v>
      </c>
      <c r="C41" s="123"/>
      <c r="D41" s="123"/>
      <c r="E41" s="123"/>
      <c r="F41" s="123"/>
      <c r="G41"/>
      <c r="H41"/>
    </row>
    <row r="42" spans="2:18" ht="32.65" customHeight="1" x14ac:dyDescent="0.25">
      <c r="B42" s="111" t="s">
        <v>6</v>
      </c>
      <c r="C42" s="112" t="s">
        <v>124</v>
      </c>
      <c r="D42" s="111" t="s">
        <v>66</v>
      </c>
      <c r="E42" s="111" t="s">
        <v>82</v>
      </c>
      <c r="F42" s="111" t="s">
        <v>67</v>
      </c>
      <c r="G42"/>
      <c r="H42"/>
      <c r="L42"/>
      <c r="M42"/>
      <c r="N42"/>
      <c r="O42"/>
      <c r="P42"/>
      <c r="Q42"/>
      <c r="R42"/>
    </row>
    <row r="43" spans="2:18" ht="15" x14ac:dyDescent="0.25">
      <c r="B43" s="115">
        <f>'Report 1. MLR Data'!K32</f>
        <v>2798624</v>
      </c>
      <c r="C43" s="140">
        <v>1.3462866082201614</v>
      </c>
      <c r="D43" s="140">
        <v>5.9714687060186051</v>
      </c>
      <c r="E43" s="140">
        <v>7.9951706113149612E-2</v>
      </c>
      <c r="F43" s="140">
        <v>1.2634615649332943</v>
      </c>
      <c r="G43"/>
      <c r="H43"/>
      <c r="L43"/>
      <c r="M43"/>
      <c r="N43"/>
      <c r="O43"/>
      <c r="P43"/>
      <c r="Q43"/>
      <c r="R43"/>
    </row>
    <row r="44" spans="2:18" ht="15" x14ac:dyDescent="0.25">
      <c r="L44"/>
      <c r="M44"/>
      <c r="N44"/>
      <c r="O44"/>
      <c r="P44"/>
      <c r="Q44"/>
      <c r="R44"/>
    </row>
    <row r="45" spans="2:18" ht="15" x14ac:dyDescent="0.25">
      <c r="L45"/>
      <c r="M45"/>
      <c r="N45"/>
      <c r="O45"/>
      <c r="P45"/>
      <c r="Q45"/>
      <c r="R45"/>
    </row>
    <row r="46" spans="2:18" ht="15" x14ac:dyDescent="0.25">
      <c r="B46" s="78" t="s">
        <v>160</v>
      </c>
      <c r="C46" s="79"/>
      <c r="D46" s="80"/>
      <c r="L46"/>
      <c r="M46"/>
      <c r="N46"/>
      <c r="O46"/>
      <c r="P46"/>
      <c r="Q46"/>
      <c r="R46"/>
    </row>
    <row r="47" spans="2:18" ht="15" x14ac:dyDescent="0.25">
      <c r="B47" s="81"/>
      <c r="L47"/>
      <c r="M47"/>
      <c r="N47"/>
      <c r="O47"/>
      <c r="P47"/>
      <c r="Q47"/>
      <c r="R47"/>
    </row>
    <row r="48" spans="2:18" ht="15" x14ac:dyDescent="0.25">
      <c r="B48" s="82" t="s">
        <v>91</v>
      </c>
      <c r="D48" s="83">
        <v>12</v>
      </c>
      <c r="L48"/>
      <c r="M48"/>
      <c r="N48"/>
      <c r="O48"/>
      <c r="P48"/>
      <c r="Q48"/>
      <c r="R48"/>
    </row>
    <row r="49" spans="2:18" ht="15" x14ac:dyDescent="0.25">
      <c r="B49" s="113" t="s">
        <v>9</v>
      </c>
      <c r="C49" s="114" t="s">
        <v>92</v>
      </c>
      <c r="D49" s="114"/>
      <c r="F49" s="189" t="s">
        <v>180</v>
      </c>
      <c r="G49" s="189" t="s">
        <v>181</v>
      </c>
      <c r="R49"/>
    </row>
    <row r="50" spans="2:18" ht="15" x14ac:dyDescent="0.25">
      <c r="B50" s="9" t="s">
        <v>10</v>
      </c>
      <c r="C50" s="84" t="s">
        <v>166</v>
      </c>
      <c r="D50" s="85">
        <f>B43*SUM(C43:F43)</f>
        <v>24239354.270825237</v>
      </c>
      <c r="E50" s="90"/>
      <c r="F50" s="85">
        <v>24239354.270825237</v>
      </c>
      <c r="G50" s="85">
        <f>D50-F50</f>
        <v>0</v>
      </c>
      <c r="R50"/>
    </row>
    <row r="51" spans="2:18" x14ac:dyDescent="0.2">
      <c r="B51" s="9" t="s">
        <v>11</v>
      </c>
      <c r="C51" s="84" t="s">
        <v>167</v>
      </c>
      <c r="D51" s="85">
        <f>E37*I12+'Report 2. SUD RC Data'!C10</f>
        <v>10795152.078417469</v>
      </c>
      <c r="F51" s="85">
        <v>10795152.078417469</v>
      </c>
      <c r="G51" s="85">
        <f t="shared" ref="G51:G58" si="5">D51-F51</f>
        <v>0</v>
      </c>
    </row>
    <row r="52" spans="2:18" x14ac:dyDescent="0.2">
      <c r="B52" s="9" t="s">
        <v>12</v>
      </c>
      <c r="C52" s="84" t="s">
        <v>128</v>
      </c>
      <c r="D52" s="85">
        <f>D50-D51</f>
        <v>13444202.192407768</v>
      </c>
      <c r="F52" s="85">
        <v>13444202.192407768</v>
      </c>
      <c r="G52" s="85">
        <f t="shared" si="5"/>
        <v>0</v>
      </c>
    </row>
    <row r="53" spans="2:18" ht="13.5" thickBot="1" x14ac:dyDescent="0.25">
      <c r="B53" s="11" t="s">
        <v>13</v>
      </c>
      <c r="C53" s="135" t="s">
        <v>129</v>
      </c>
      <c r="D53" s="86">
        <f>IF(D50 = 0,0,D52/D50)</f>
        <v>0.55464357846320034</v>
      </c>
      <c r="F53" s="86">
        <v>0.55464357846320034</v>
      </c>
      <c r="G53" s="86">
        <f t="shared" si="5"/>
        <v>0</v>
      </c>
    </row>
    <row r="54" spans="2:18" ht="26.25" thickTop="1" x14ac:dyDescent="0.2">
      <c r="B54" s="118" t="s">
        <v>14</v>
      </c>
      <c r="C54" s="124" t="s">
        <v>126</v>
      </c>
      <c r="D54" s="119">
        <f>IF(D50 = 0,0,D51/D50)</f>
        <v>0.44535642153679966</v>
      </c>
      <c r="F54" s="119">
        <v>0.44535642153679966</v>
      </c>
      <c r="G54" s="119">
        <f t="shared" si="5"/>
        <v>0</v>
      </c>
    </row>
    <row r="55" spans="2:18" ht="15" x14ac:dyDescent="0.2">
      <c r="B55" s="136" t="s">
        <v>168</v>
      </c>
      <c r="C55" s="125" t="s">
        <v>169</v>
      </c>
      <c r="D55" s="35">
        <f>IF(D54&lt;0.95,-(0.95*D50-D51),IF(D54&gt;1.05,-(1.05*D50-D51),0))</f>
        <v>-12232234.478866506</v>
      </c>
      <c r="E55" s="117"/>
      <c r="F55" s="35">
        <v>-12232234.478866506</v>
      </c>
      <c r="G55" s="35">
        <f t="shared" si="5"/>
        <v>0</v>
      </c>
    </row>
    <row r="56" spans="2:18" x14ac:dyDescent="0.2">
      <c r="B56" s="9" t="s">
        <v>170</v>
      </c>
      <c r="C56" s="125" t="s">
        <v>171</v>
      </c>
      <c r="D56" s="35">
        <f>IF(IF(D54&lt;0.99,(0.99*D50-0.95*D50)*-0.5,IF(D54&gt;1.01,(1.05*D50-1.01*D50)*0.5))=FALSE,0,IF(D54&lt;0.99,(0.99*D50-0.95*D50)*-0.5,IF(D54&gt;1.01,(1.05*D50-1.01*D50)*0.5)))</f>
        <v>-484787.08541650511</v>
      </c>
      <c r="F56" s="35">
        <v>-484787.08541650511</v>
      </c>
      <c r="G56" s="35">
        <f t="shared" si="5"/>
        <v>0</v>
      </c>
    </row>
    <row r="57" spans="2:18" x14ac:dyDescent="0.2">
      <c r="B57" s="9" t="s">
        <v>172</v>
      </c>
      <c r="C57" s="125" t="s">
        <v>173</v>
      </c>
      <c r="D57" s="35">
        <v>0</v>
      </c>
      <c r="F57" s="35">
        <v>0</v>
      </c>
      <c r="G57" s="35">
        <f t="shared" si="5"/>
        <v>0</v>
      </c>
    </row>
    <row r="58" spans="2:18" ht="26.25" thickBot="1" x14ac:dyDescent="0.25">
      <c r="B58" s="120" t="s">
        <v>15</v>
      </c>
      <c r="C58" s="126" t="s">
        <v>130</v>
      </c>
      <c r="D58" s="138">
        <f>SUM(D55:D57)</f>
        <v>-12717021.564283011</v>
      </c>
      <c r="F58" s="138">
        <v>-12717021.564283011</v>
      </c>
      <c r="G58" s="138">
        <f t="shared" si="5"/>
        <v>0</v>
      </c>
    </row>
    <row r="59" spans="2:18" ht="13.5" thickTop="1" x14ac:dyDescent="0.2">
      <c r="B59" s="137" t="s">
        <v>174</v>
      </c>
    </row>
    <row r="60" spans="2:18" ht="15" x14ac:dyDescent="0.25">
      <c r="B60"/>
      <c r="C60"/>
      <c r="D60"/>
      <c r="E60"/>
      <c r="F60"/>
      <c r="G60"/>
      <c r="H60"/>
    </row>
    <row r="61" spans="2:18" ht="15" x14ac:dyDescent="0.25">
      <c r="B61"/>
      <c r="C61"/>
      <c r="D61"/>
      <c r="E61"/>
      <c r="F61"/>
      <c r="G61"/>
      <c r="H61"/>
    </row>
    <row r="62" spans="2:18" ht="15" x14ac:dyDescent="0.25">
      <c r="B62"/>
      <c r="C62"/>
      <c r="D62"/>
      <c r="E62"/>
      <c r="F62"/>
      <c r="G62"/>
      <c r="H62"/>
    </row>
    <row r="63" spans="2:18" ht="15" x14ac:dyDescent="0.25">
      <c r="B63"/>
      <c r="C63"/>
      <c r="D63"/>
      <c r="E63"/>
      <c r="F63"/>
      <c r="G63"/>
      <c r="H63"/>
    </row>
    <row r="64" spans="2:18" ht="15" x14ac:dyDescent="0.25">
      <c r="B64"/>
      <c r="C64"/>
      <c r="D64"/>
      <c r="E64"/>
      <c r="F64"/>
      <c r="G64"/>
      <c r="H64"/>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D17" sqref="D17"/>
    </sheetView>
  </sheetViews>
  <sheetFormatPr defaultColWidth="8.7109375" defaultRowHeight="12.75" x14ac:dyDescent="0.2"/>
  <cols>
    <col min="1" max="1" width="8.7109375" style="8" customWidth="1"/>
    <col min="2" max="2" width="11" style="8" bestFit="1" customWidth="1"/>
    <col min="3" max="3" width="53.28515625" style="8" bestFit="1" customWidth="1"/>
    <col min="4" max="4" width="19.28515625" style="8" customWidth="1"/>
    <col min="5" max="16384" width="8.7109375" style="8"/>
  </cols>
  <sheetData>
    <row r="1" spans="2:5" ht="15" x14ac:dyDescent="0.25">
      <c r="C1"/>
    </row>
    <row r="2" spans="2:5" x14ac:dyDescent="0.2">
      <c r="B2" s="12" t="s">
        <v>105</v>
      </c>
      <c r="C2" s="13" t="str">
        <f>Overview!$C$11</f>
        <v>Rocky Mountain Health Plans</v>
      </c>
    </row>
    <row r="3" spans="2:5" x14ac:dyDescent="0.2">
      <c r="B3" s="12" t="s">
        <v>114</v>
      </c>
      <c r="C3" s="142">
        <f>Overview!C12</f>
        <v>1</v>
      </c>
    </row>
    <row r="4" spans="2:5" x14ac:dyDescent="0.2">
      <c r="B4" s="12" t="s">
        <v>27</v>
      </c>
      <c r="C4" s="14" t="s">
        <v>46</v>
      </c>
    </row>
    <row r="5" spans="2:5" x14ac:dyDescent="0.2">
      <c r="B5" s="12" t="s">
        <v>28</v>
      </c>
      <c r="C5" s="13" t="str">
        <f>Overview!$C$14</f>
        <v>July 1, 2021 - June 30, 2022</v>
      </c>
    </row>
    <row r="6" spans="2:5" x14ac:dyDescent="0.2">
      <c r="B6" s="12"/>
      <c r="C6" s="13"/>
    </row>
    <row r="8" spans="2:5" x14ac:dyDescent="0.2">
      <c r="D8" s="52" t="s">
        <v>61</v>
      </c>
    </row>
    <row r="9" spans="2:5" x14ac:dyDescent="0.2">
      <c r="B9" s="34" t="s">
        <v>9</v>
      </c>
      <c r="C9" s="52" t="s">
        <v>46</v>
      </c>
      <c r="D9" s="52" t="s">
        <v>74</v>
      </c>
    </row>
    <row r="10" spans="2:5" x14ac:dyDescent="0.2">
      <c r="B10" s="2" t="s">
        <v>10</v>
      </c>
      <c r="C10" s="61" t="s">
        <v>7</v>
      </c>
      <c r="D10" s="7">
        <f>'Report 1. MLR Data'!K13</f>
        <v>157277262.90000001</v>
      </c>
      <c r="E10" s="89"/>
    </row>
    <row r="11" spans="2:5" x14ac:dyDescent="0.2">
      <c r="B11" s="2" t="s">
        <v>11</v>
      </c>
      <c r="C11" s="99" t="s">
        <v>127</v>
      </c>
      <c r="D11" s="7">
        <f>'Report 3. SUD Risk Corridor'!D58</f>
        <v>-12717021.564283011</v>
      </c>
      <c r="E11" s="90"/>
    </row>
    <row r="12" spans="2:5" x14ac:dyDescent="0.2">
      <c r="B12" s="2" t="s">
        <v>12</v>
      </c>
      <c r="C12" s="99" t="s">
        <v>106</v>
      </c>
      <c r="D12" s="7">
        <f t="shared" ref="D12" si="0">D10+D11</f>
        <v>144560241.33571699</v>
      </c>
      <c r="E12" s="89"/>
    </row>
    <row r="13" spans="2:5" x14ac:dyDescent="0.2">
      <c r="B13" s="2" t="s">
        <v>13</v>
      </c>
      <c r="C13" s="99" t="s">
        <v>107</v>
      </c>
      <c r="D13" s="3">
        <f>'Report 1. MLR Data'!K28</f>
        <v>123699457.17</v>
      </c>
      <c r="E13" s="89"/>
    </row>
    <row r="14" spans="2:5" ht="25.5" x14ac:dyDescent="0.2">
      <c r="B14" s="2" t="s">
        <v>14</v>
      </c>
      <c r="C14" s="99" t="s">
        <v>108</v>
      </c>
      <c r="D14" s="4">
        <f>IF(D12=0,0,D13/D12)</f>
        <v>0.85569487175058523</v>
      </c>
      <c r="E14" s="89"/>
    </row>
    <row r="15" spans="2:5" x14ac:dyDescent="0.2">
      <c r="B15" s="2" t="s">
        <v>15</v>
      </c>
      <c r="C15" s="2" t="s">
        <v>1</v>
      </c>
      <c r="D15" s="33">
        <v>0.85</v>
      </c>
      <c r="E15" s="89"/>
    </row>
    <row r="16" spans="2:5" ht="13.5" thickBot="1" x14ac:dyDescent="0.25">
      <c r="B16" s="45" t="s">
        <v>16</v>
      </c>
      <c r="C16" s="100" t="s">
        <v>109</v>
      </c>
      <c r="D16" s="5">
        <f t="shared" ref="D16" si="1">IF(D15-D14&lt;0,0,D15-D14)</f>
        <v>0</v>
      </c>
      <c r="E16" s="89"/>
    </row>
    <row r="17" spans="2:5" ht="13.5" thickTop="1" x14ac:dyDescent="0.2">
      <c r="B17" s="1" t="s">
        <v>17</v>
      </c>
      <c r="C17" s="101" t="s">
        <v>110</v>
      </c>
      <c r="D17" s="6">
        <f>IF(D16=0,0,MAX(D12-(D13/D15),0))</f>
        <v>0</v>
      </c>
      <c r="E17" s="90"/>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workbookViewId="0"/>
  </sheetViews>
  <sheetFormatPr defaultColWidth="8.7109375" defaultRowHeight="15" customHeight="1" x14ac:dyDescent="0.25"/>
  <cols>
    <col min="1" max="1" width="8.7109375" customWidth="1"/>
    <col min="2" max="10" width="10.7109375" customWidth="1"/>
  </cols>
  <sheetData>
    <row r="2" spans="2:10" ht="15" customHeight="1" x14ac:dyDescent="0.25">
      <c r="B2" s="12" t="s">
        <v>105</v>
      </c>
      <c r="C2" s="13" t="str">
        <f>Overview!$C$11</f>
        <v>Rocky Mountain Health Plans</v>
      </c>
    </row>
    <row r="3" spans="2:10" ht="15" customHeight="1" x14ac:dyDescent="0.25">
      <c r="B3" s="12" t="s">
        <v>114</v>
      </c>
      <c r="C3" s="13">
        <f>Overview!C12</f>
        <v>1</v>
      </c>
    </row>
    <row r="4" spans="2:10" ht="15" customHeight="1" x14ac:dyDescent="0.25">
      <c r="B4" s="12" t="s">
        <v>27</v>
      </c>
      <c r="C4" s="14" t="s">
        <v>93</v>
      </c>
    </row>
    <row r="5" spans="2:10" ht="15" customHeight="1" x14ac:dyDescent="0.25">
      <c r="B5" s="12" t="s">
        <v>28</v>
      </c>
      <c r="C5" s="13" t="str">
        <f>Overview!$C$14</f>
        <v>July 1, 2021 - June 30, 2022</v>
      </c>
    </row>
    <row r="7" spans="2:10" ht="15" customHeight="1" x14ac:dyDescent="0.25">
      <c r="B7" s="29" t="s">
        <v>39</v>
      </c>
      <c r="C7" s="16"/>
      <c r="D7" s="16"/>
      <c r="E7" s="16"/>
    </row>
    <row r="8" spans="2:10" ht="15" customHeight="1" x14ac:dyDescent="0.25">
      <c r="B8" s="27" t="s">
        <v>45</v>
      </c>
      <c r="C8" s="16"/>
      <c r="D8" s="16"/>
      <c r="E8" s="16"/>
    </row>
    <row r="9" spans="2:10" ht="15" customHeight="1" x14ac:dyDescent="0.25">
      <c r="B9" s="29" t="str">
        <f>"during the incurral time period of "&amp;Overview!$C$14&amp;"."</f>
        <v>during the incurral time period of July 1, 2021 - June 30, 2022.</v>
      </c>
      <c r="C9" s="16"/>
      <c r="D9" s="16"/>
      <c r="E9" s="16"/>
    </row>
    <row r="10" spans="2:10" ht="15" customHeight="1" x14ac:dyDescent="0.25">
      <c r="B10" s="16"/>
      <c r="C10" s="16"/>
      <c r="D10" s="16"/>
      <c r="E10" s="16"/>
    </row>
    <row r="12" spans="2:10" ht="15" customHeight="1" thickBot="1" x14ac:dyDescent="0.3">
      <c r="B12" s="13" t="s">
        <v>40</v>
      </c>
      <c r="C12" s="37"/>
      <c r="D12" s="37"/>
      <c r="E12" s="37"/>
      <c r="F12" s="37"/>
      <c r="G12" s="37"/>
      <c r="I12" s="49"/>
      <c r="J12" s="37"/>
    </row>
    <row r="13" spans="2:10" ht="15" customHeight="1" x14ac:dyDescent="0.25">
      <c r="B13" s="16"/>
      <c r="C13" s="13" t="s">
        <v>41</v>
      </c>
      <c r="D13" s="16"/>
      <c r="E13" s="16"/>
      <c r="G13" s="16"/>
      <c r="I13" s="13" t="s">
        <v>42</v>
      </c>
    </row>
    <row r="14" spans="2:10" ht="15" customHeight="1" x14ac:dyDescent="0.25">
      <c r="B14" s="16"/>
      <c r="C14" s="16"/>
      <c r="D14" s="16"/>
      <c r="E14" s="16"/>
      <c r="G14" s="16"/>
      <c r="I14" s="16"/>
    </row>
    <row r="15" spans="2:10" ht="15" customHeight="1" x14ac:dyDescent="0.25">
      <c r="B15" s="16"/>
      <c r="C15" s="16"/>
      <c r="D15" s="16"/>
      <c r="E15" s="16"/>
      <c r="G15" s="16"/>
      <c r="I15" s="16"/>
    </row>
    <row r="16" spans="2:10" ht="15" customHeight="1" x14ac:dyDescent="0.25">
      <c r="B16" s="16"/>
    </row>
    <row r="17" spans="2:10" ht="15" customHeight="1" thickBot="1" x14ac:dyDescent="0.3">
      <c r="B17" s="16"/>
      <c r="C17" s="37"/>
      <c r="D17" s="37"/>
      <c r="E17" s="37"/>
      <c r="F17" s="37"/>
      <c r="G17" s="37"/>
      <c r="I17" s="37"/>
      <c r="J17" s="37"/>
    </row>
    <row r="18" spans="2:10" ht="15" customHeight="1" x14ac:dyDescent="0.25">
      <c r="C18" s="13" t="s">
        <v>43</v>
      </c>
      <c r="D18" s="16"/>
      <c r="E18" s="16"/>
      <c r="G18" s="16"/>
      <c r="I18" s="13" t="s">
        <v>44</v>
      </c>
    </row>
  </sheetData>
  <pageMargins left="0.7" right="0.7" top="0.75" bottom="0.75" header="0.3" footer="0.3"/>
  <pageSetup fitToHeight="0" orientation="landscape" r:id="rId1"/>
  <headerFooter>
    <oddHeader>&amp;LState of Colorado&amp;RDraft and Confidential</oddHeader>
    <oddFooter>&amp;L&amp;F | &amp;A&amp;R&amp;G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C9C-BEC9-4AA2-985C-5B3939AAD244}">
  <dimension ref="B2:O32"/>
  <sheetViews>
    <sheetView workbookViewId="0">
      <selection activeCell="B3" sqref="B3:O16"/>
    </sheetView>
  </sheetViews>
  <sheetFormatPr defaultRowHeight="15" x14ac:dyDescent="0.25"/>
  <sheetData>
    <row r="2" spans="2:15" x14ac:dyDescent="0.25">
      <c r="B2" s="16" t="s">
        <v>145</v>
      </c>
      <c r="C2" s="16"/>
      <c r="D2" s="16"/>
      <c r="E2" s="16"/>
      <c r="F2" s="16"/>
      <c r="G2" s="16"/>
    </row>
    <row r="3" spans="2:15" x14ac:dyDescent="0.25">
      <c r="B3" s="159"/>
      <c r="C3" s="160"/>
      <c r="D3" s="160"/>
      <c r="E3" s="160"/>
      <c r="F3" s="160"/>
      <c r="G3" s="160"/>
      <c r="H3" s="160"/>
      <c r="I3" s="160"/>
      <c r="J3" s="161"/>
      <c r="K3" s="161"/>
      <c r="L3" s="161"/>
      <c r="M3" s="161"/>
      <c r="N3" s="161"/>
      <c r="O3" s="162"/>
    </row>
    <row r="4" spans="2:15" x14ac:dyDescent="0.25">
      <c r="B4" s="163"/>
      <c r="C4" s="164"/>
      <c r="D4" s="164"/>
      <c r="E4" s="164"/>
      <c r="F4" s="164"/>
      <c r="G4" s="164"/>
      <c r="H4" s="164"/>
      <c r="I4" s="164"/>
      <c r="J4" s="165"/>
      <c r="K4" s="165"/>
      <c r="L4" s="165"/>
      <c r="M4" s="165"/>
      <c r="N4" s="165"/>
      <c r="O4" s="166"/>
    </row>
    <row r="5" spans="2:15" x14ac:dyDescent="0.25">
      <c r="B5" s="163"/>
      <c r="C5" s="164"/>
      <c r="D5" s="164"/>
      <c r="E5" s="164"/>
      <c r="F5" s="164"/>
      <c r="G5" s="164"/>
      <c r="H5" s="164"/>
      <c r="I5" s="164"/>
      <c r="J5" s="165"/>
      <c r="K5" s="165"/>
      <c r="L5" s="165"/>
      <c r="M5" s="165"/>
      <c r="N5" s="165"/>
      <c r="O5" s="166"/>
    </row>
    <row r="6" spans="2:15" x14ac:dyDescent="0.25">
      <c r="B6" s="163"/>
      <c r="C6" s="164"/>
      <c r="D6" s="164"/>
      <c r="E6" s="164"/>
      <c r="F6" s="164"/>
      <c r="G6" s="164"/>
      <c r="H6" s="164"/>
      <c r="I6" s="164"/>
      <c r="J6" s="165"/>
      <c r="K6" s="165"/>
      <c r="L6" s="165"/>
      <c r="M6" s="165"/>
      <c r="N6" s="165"/>
      <c r="O6" s="166"/>
    </row>
    <row r="7" spans="2:15" x14ac:dyDescent="0.25">
      <c r="B7" s="163"/>
      <c r="C7" s="164"/>
      <c r="D7" s="164"/>
      <c r="E7" s="164"/>
      <c r="F7" s="164"/>
      <c r="G7" s="164"/>
      <c r="H7" s="164"/>
      <c r="I7" s="164"/>
      <c r="J7" s="165"/>
      <c r="K7" s="165"/>
      <c r="L7" s="165"/>
      <c r="M7" s="165"/>
      <c r="N7" s="165"/>
      <c r="O7" s="166"/>
    </row>
    <row r="8" spans="2:15" x14ac:dyDescent="0.25">
      <c r="B8" s="163"/>
      <c r="C8" s="164"/>
      <c r="D8" s="164"/>
      <c r="E8" s="164"/>
      <c r="F8" s="164"/>
      <c r="G8" s="164"/>
      <c r="H8" s="164"/>
      <c r="I8" s="164"/>
      <c r="J8" s="165"/>
      <c r="K8" s="165"/>
      <c r="L8" s="165"/>
      <c r="M8" s="165"/>
      <c r="N8" s="165"/>
      <c r="O8" s="166"/>
    </row>
    <row r="9" spans="2:15" x14ac:dyDescent="0.25">
      <c r="B9" s="167"/>
      <c r="C9" s="165"/>
      <c r="D9" s="165"/>
      <c r="E9" s="165"/>
      <c r="F9" s="165"/>
      <c r="G9" s="165"/>
      <c r="H9" s="165"/>
      <c r="I9" s="165"/>
      <c r="J9" s="165"/>
      <c r="K9" s="165"/>
      <c r="L9" s="165"/>
      <c r="M9" s="165"/>
      <c r="N9" s="165"/>
      <c r="O9" s="166"/>
    </row>
    <row r="10" spans="2:15" x14ac:dyDescent="0.25">
      <c r="B10" s="167"/>
      <c r="C10" s="165"/>
      <c r="D10" s="165"/>
      <c r="E10" s="165"/>
      <c r="F10" s="165"/>
      <c r="G10" s="165"/>
      <c r="H10" s="165"/>
      <c r="I10" s="165"/>
      <c r="J10" s="165"/>
      <c r="K10" s="165"/>
      <c r="L10" s="165"/>
      <c r="M10" s="165"/>
      <c r="N10" s="165"/>
      <c r="O10" s="166"/>
    </row>
    <row r="11" spans="2:15" x14ac:dyDescent="0.25">
      <c r="B11" s="167"/>
      <c r="C11" s="165"/>
      <c r="D11" s="165"/>
      <c r="E11" s="165"/>
      <c r="F11" s="165"/>
      <c r="G11" s="165"/>
      <c r="H11" s="165"/>
      <c r="I11" s="165"/>
      <c r="J11" s="165"/>
      <c r="K11" s="165"/>
      <c r="L11" s="165"/>
      <c r="M11" s="165"/>
      <c r="N11" s="165"/>
      <c r="O11" s="166"/>
    </row>
    <row r="12" spans="2:15" x14ac:dyDescent="0.25">
      <c r="B12" s="167"/>
      <c r="C12" s="165"/>
      <c r="D12" s="165"/>
      <c r="E12" s="165"/>
      <c r="F12" s="165"/>
      <c r="G12" s="165"/>
      <c r="H12" s="165"/>
      <c r="I12" s="165"/>
      <c r="J12" s="165"/>
      <c r="K12" s="165"/>
      <c r="L12" s="165"/>
      <c r="M12" s="165"/>
      <c r="N12" s="165"/>
      <c r="O12" s="166"/>
    </row>
    <row r="13" spans="2:15" x14ac:dyDescent="0.25">
      <c r="B13" s="167"/>
      <c r="C13" s="165"/>
      <c r="D13" s="165"/>
      <c r="E13" s="165"/>
      <c r="F13" s="165"/>
      <c r="G13" s="165"/>
      <c r="H13" s="165"/>
      <c r="I13" s="165"/>
      <c r="J13" s="165"/>
      <c r="K13" s="165"/>
      <c r="L13" s="165"/>
      <c r="M13" s="165"/>
      <c r="N13" s="165"/>
      <c r="O13" s="166"/>
    </row>
    <row r="14" spans="2:15" x14ac:dyDescent="0.25">
      <c r="B14" s="167"/>
      <c r="C14" s="165"/>
      <c r="D14" s="165"/>
      <c r="E14" s="165"/>
      <c r="F14" s="165"/>
      <c r="G14" s="165"/>
      <c r="H14" s="165"/>
      <c r="I14" s="165"/>
      <c r="J14" s="165"/>
      <c r="K14" s="165"/>
      <c r="L14" s="165"/>
      <c r="M14" s="165"/>
      <c r="N14" s="165"/>
      <c r="O14" s="166"/>
    </row>
    <row r="15" spans="2:15" x14ac:dyDescent="0.25">
      <c r="B15" s="167"/>
      <c r="C15" s="165"/>
      <c r="D15" s="165"/>
      <c r="E15" s="165"/>
      <c r="F15" s="165"/>
      <c r="G15" s="165"/>
      <c r="H15" s="165"/>
      <c r="I15" s="165"/>
      <c r="J15" s="165"/>
      <c r="K15" s="165"/>
      <c r="L15" s="165"/>
      <c r="M15" s="165"/>
      <c r="N15" s="165"/>
      <c r="O15" s="166"/>
    </row>
    <row r="16" spans="2:15" x14ac:dyDescent="0.25">
      <c r="B16" s="168"/>
      <c r="C16" s="169"/>
      <c r="D16" s="169"/>
      <c r="E16" s="169"/>
      <c r="F16" s="169"/>
      <c r="G16" s="169"/>
      <c r="H16" s="169"/>
      <c r="I16" s="169"/>
      <c r="J16" s="169"/>
      <c r="K16" s="169"/>
      <c r="L16" s="169"/>
      <c r="M16" s="169"/>
      <c r="N16" s="169"/>
      <c r="O16" s="170"/>
    </row>
    <row r="18" spans="2:15" x14ac:dyDescent="0.25">
      <c r="B18" s="16" t="s">
        <v>146</v>
      </c>
      <c r="C18" s="16"/>
      <c r="D18" s="16"/>
      <c r="E18" s="16"/>
      <c r="F18" s="16"/>
      <c r="G18" s="16"/>
    </row>
    <row r="19" spans="2:15" x14ac:dyDescent="0.25">
      <c r="B19" s="159" t="s">
        <v>176</v>
      </c>
      <c r="C19" s="160"/>
      <c r="D19" s="160"/>
      <c r="E19" s="160"/>
      <c r="F19" s="160"/>
      <c r="G19" s="160"/>
      <c r="H19" s="160"/>
      <c r="I19" s="160"/>
      <c r="J19" s="161"/>
      <c r="K19" s="161"/>
      <c r="L19" s="161"/>
      <c r="M19" s="161"/>
      <c r="N19" s="161"/>
      <c r="O19" s="162"/>
    </row>
    <row r="20" spans="2:15" x14ac:dyDescent="0.25">
      <c r="B20" s="163"/>
      <c r="C20" s="164"/>
      <c r="D20" s="164"/>
      <c r="E20" s="164"/>
      <c r="F20" s="164"/>
      <c r="G20" s="164"/>
      <c r="H20" s="164"/>
      <c r="I20" s="164"/>
      <c r="J20" s="165"/>
      <c r="K20" s="165"/>
      <c r="L20" s="165"/>
      <c r="M20" s="165"/>
      <c r="N20" s="165"/>
      <c r="O20" s="166"/>
    </row>
    <row r="21" spans="2:15" x14ac:dyDescent="0.25">
      <c r="B21" s="163"/>
      <c r="C21" s="164"/>
      <c r="D21" s="164"/>
      <c r="E21" s="164"/>
      <c r="F21" s="164"/>
      <c r="G21" s="164"/>
      <c r="H21" s="164"/>
      <c r="I21" s="164"/>
      <c r="J21" s="165"/>
      <c r="K21" s="165"/>
      <c r="L21" s="165"/>
      <c r="M21" s="165"/>
      <c r="N21" s="165"/>
      <c r="O21" s="166"/>
    </row>
    <row r="22" spans="2:15" x14ac:dyDescent="0.25">
      <c r="B22" s="163"/>
      <c r="C22" s="164"/>
      <c r="D22" s="164"/>
      <c r="E22" s="164"/>
      <c r="F22" s="164"/>
      <c r="G22" s="164"/>
      <c r="H22" s="164"/>
      <c r="I22" s="164"/>
      <c r="J22" s="165"/>
      <c r="K22" s="165"/>
      <c r="L22" s="165"/>
      <c r="M22" s="165"/>
      <c r="N22" s="165"/>
      <c r="O22" s="166"/>
    </row>
    <row r="23" spans="2:15" x14ac:dyDescent="0.25">
      <c r="B23" s="163"/>
      <c r="C23" s="164"/>
      <c r="D23" s="164"/>
      <c r="E23" s="164"/>
      <c r="F23" s="164"/>
      <c r="G23" s="164"/>
      <c r="H23" s="164"/>
      <c r="I23" s="164"/>
      <c r="J23" s="165"/>
      <c r="K23" s="165"/>
      <c r="L23" s="165"/>
      <c r="M23" s="165"/>
      <c r="N23" s="165"/>
      <c r="O23" s="166"/>
    </row>
    <row r="24" spans="2:15" x14ac:dyDescent="0.25">
      <c r="B24" s="163"/>
      <c r="C24" s="164"/>
      <c r="D24" s="164"/>
      <c r="E24" s="164"/>
      <c r="F24" s="164"/>
      <c r="G24" s="164"/>
      <c r="H24" s="164"/>
      <c r="I24" s="164"/>
      <c r="J24" s="165"/>
      <c r="K24" s="165"/>
      <c r="L24" s="165"/>
      <c r="M24" s="165"/>
      <c r="N24" s="165"/>
      <c r="O24" s="166"/>
    </row>
    <row r="25" spans="2:15" x14ac:dyDescent="0.25">
      <c r="B25" s="167"/>
      <c r="C25" s="165"/>
      <c r="D25" s="165"/>
      <c r="E25" s="165"/>
      <c r="F25" s="165"/>
      <c r="G25" s="165"/>
      <c r="H25" s="165"/>
      <c r="I25" s="165"/>
      <c r="J25" s="165"/>
      <c r="K25" s="165"/>
      <c r="L25" s="165"/>
      <c r="M25" s="165"/>
      <c r="N25" s="165"/>
      <c r="O25" s="166"/>
    </row>
    <row r="26" spans="2:15" x14ac:dyDescent="0.25">
      <c r="B26" s="167"/>
      <c r="C26" s="165"/>
      <c r="D26" s="165"/>
      <c r="E26" s="165"/>
      <c r="F26" s="165"/>
      <c r="G26" s="165"/>
      <c r="H26" s="165"/>
      <c r="I26" s="165"/>
      <c r="J26" s="165"/>
      <c r="K26" s="165"/>
      <c r="L26" s="165"/>
      <c r="M26" s="165"/>
      <c r="N26" s="165"/>
      <c r="O26" s="166"/>
    </row>
    <row r="27" spans="2:15" x14ac:dyDescent="0.25">
      <c r="B27" s="167"/>
      <c r="C27" s="165"/>
      <c r="D27" s="165"/>
      <c r="E27" s="165"/>
      <c r="F27" s="165"/>
      <c r="G27" s="165"/>
      <c r="H27" s="165"/>
      <c r="I27" s="165"/>
      <c r="J27" s="165"/>
      <c r="K27" s="165"/>
      <c r="L27" s="165"/>
      <c r="M27" s="165"/>
      <c r="N27" s="165"/>
      <c r="O27" s="166"/>
    </row>
    <row r="28" spans="2:15" x14ac:dyDescent="0.25">
      <c r="B28" s="167"/>
      <c r="C28" s="165"/>
      <c r="D28" s="165"/>
      <c r="E28" s="165"/>
      <c r="F28" s="165"/>
      <c r="G28" s="165"/>
      <c r="H28" s="165"/>
      <c r="I28" s="165"/>
      <c r="J28" s="165"/>
      <c r="K28" s="165"/>
      <c r="L28" s="165"/>
      <c r="M28" s="165"/>
      <c r="N28" s="165"/>
      <c r="O28" s="166"/>
    </row>
    <row r="29" spans="2:15" x14ac:dyDescent="0.25">
      <c r="B29" s="167"/>
      <c r="C29" s="165"/>
      <c r="D29" s="165"/>
      <c r="E29" s="165"/>
      <c r="F29" s="165"/>
      <c r="G29" s="165"/>
      <c r="H29" s="165"/>
      <c r="I29" s="165"/>
      <c r="J29" s="165"/>
      <c r="K29" s="165"/>
      <c r="L29" s="165"/>
      <c r="M29" s="165"/>
      <c r="N29" s="165"/>
      <c r="O29" s="166"/>
    </row>
    <row r="30" spans="2:15" x14ac:dyDescent="0.25">
      <c r="B30" s="167"/>
      <c r="C30" s="165"/>
      <c r="D30" s="165"/>
      <c r="E30" s="165"/>
      <c r="F30" s="165"/>
      <c r="G30" s="165"/>
      <c r="H30" s="165"/>
      <c r="I30" s="165"/>
      <c r="J30" s="165"/>
      <c r="K30" s="165"/>
      <c r="L30" s="165"/>
      <c r="M30" s="165"/>
      <c r="N30" s="165"/>
      <c r="O30" s="166"/>
    </row>
    <row r="31" spans="2:15" x14ac:dyDescent="0.25">
      <c r="B31" s="167"/>
      <c r="C31" s="165"/>
      <c r="D31" s="165"/>
      <c r="E31" s="165"/>
      <c r="F31" s="165"/>
      <c r="G31" s="165"/>
      <c r="H31" s="165"/>
      <c r="I31" s="165"/>
      <c r="J31" s="165"/>
      <c r="K31" s="165"/>
      <c r="L31" s="165"/>
      <c r="M31" s="165"/>
      <c r="N31" s="165"/>
      <c r="O31" s="166"/>
    </row>
    <row r="32" spans="2:15" ht="98.25" customHeight="1" x14ac:dyDescent="0.25">
      <c r="B32" s="168"/>
      <c r="C32" s="169"/>
      <c r="D32" s="169"/>
      <c r="E32" s="169"/>
      <c r="F32" s="169"/>
      <c r="G32" s="169"/>
      <c r="H32" s="169"/>
      <c r="I32" s="169"/>
      <c r="J32" s="169"/>
      <c r="K32" s="169"/>
      <c r="L32" s="169"/>
      <c r="M32" s="169"/>
      <c r="N32" s="169"/>
      <c r="O32" s="170"/>
    </row>
  </sheetData>
  <mergeCells count="2">
    <mergeCell ref="B3:O16"/>
    <mergeCell ref="B19:O32"/>
  </mergeCells>
  <pageMargins left="0.7" right="0.7" top="0.75" bottom="0.75" header="0.3" footer="0.3"/>
  <pageSetup orientation="portrait" horizontalDpi="360" verticalDpi="360" r:id="rId1"/>
  <headerFooter>
    <oddHeader>&amp;LState of Colorado&amp;RDraft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election activeCell="B3" sqref="B3:N21"/>
    </sheetView>
  </sheetViews>
  <sheetFormatPr defaultColWidth="8.7109375" defaultRowHeight="15" customHeight="1" x14ac:dyDescent="0.25"/>
  <cols>
    <col min="1" max="16384" width="8.7109375" style="36"/>
  </cols>
  <sheetData>
    <row r="2" spans="2:14" ht="15" customHeight="1" x14ac:dyDescent="0.25">
      <c r="B2" s="16" t="s">
        <v>49</v>
      </c>
    </row>
    <row r="3" spans="2:14" ht="15" customHeight="1" x14ac:dyDescent="0.25">
      <c r="B3" s="180" t="s">
        <v>177</v>
      </c>
      <c r="C3" s="172"/>
      <c r="D3" s="172"/>
      <c r="E3" s="172"/>
      <c r="F3" s="172"/>
      <c r="G3" s="172"/>
      <c r="H3" s="172"/>
      <c r="I3" s="172"/>
      <c r="J3" s="172"/>
      <c r="K3" s="172"/>
      <c r="L3" s="172"/>
      <c r="M3" s="172"/>
      <c r="N3" s="173"/>
    </row>
    <row r="4" spans="2:14" ht="15" customHeight="1" x14ac:dyDescent="0.25">
      <c r="B4" s="174"/>
      <c r="C4" s="175"/>
      <c r="D4" s="175"/>
      <c r="E4" s="175"/>
      <c r="F4" s="175"/>
      <c r="G4" s="175"/>
      <c r="H4" s="175"/>
      <c r="I4" s="175"/>
      <c r="J4" s="175"/>
      <c r="K4" s="175"/>
      <c r="L4" s="175"/>
      <c r="M4" s="175"/>
      <c r="N4" s="176"/>
    </row>
    <row r="5" spans="2:14" ht="15" customHeight="1" x14ac:dyDescent="0.25">
      <c r="B5" s="174"/>
      <c r="C5" s="175"/>
      <c r="D5" s="175"/>
      <c r="E5" s="175"/>
      <c r="F5" s="175"/>
      <c r="G5" s="175"/>
      <c r="H5" s="175"/>
      <c r="I5" s="175"/>
      <c r="J5" s="175"/>
      <c r="K5" s="175"/>
      <c r="L5" s="175"/>
      <c r="M5" s="175"/>
      <c r="N5" s="176"/>
    </row>
    <row r="6" spans="2:14" ht="15" customHeight="1" x14ac:dyDescent="0.25">
      <c r="B6" s="174"/>
      <c r="C6" s="175"/>
      <c r="D6" s="175"/>
      <c r="E6" s="175"/>
      <c r="F6" s="175"/>
      <c r="G6" s="175"/>
      <c r="H6" s="175"/>
      <c r="I6" s="175"/>
      <c r="J6" s="175"/>
      <c r="K6" s="175"/>
      <c r="L6" s="175"/>
      <c r="M6" s="175"/>
      <c r="N6" s="176"/>
    </row>
    <row r="7" spans="2:14" ht="15" customHeight="1" x14ac:dyDescent="0.25">
      <c r="B7" s="174"/>
      <c r="C7" s="175"/>
      <c r="D7" s="175"/>
      <c r="E7" s="175"/>
      <c r="F7" s="175"/>
      <c r="G7" s="175"/>
      <c r="H7" s="175"/>
      <c r="I7" s="175"/>
      <c r="J7" s="175"/>
      <c r="K7" s="175"/>
      <c r="L7" s="175"/>
      <c r="M7" s="175"/>
      <c r="N7" s="176"/>
    </row>
    <row r="8" spans="2:14" ht="15" customHeight="1" x14ac:dyDescent="0.25">
      <c r="B8" s="174"/>
      <c r="C8" s="175"/>
      <c r="D8" s="175"/>
      <c r="E8" s="175"/>
      <c r="F8" s="175"/>
      <c r="G8" s="175"/>
      <c r="H8" s="175"/>
      <c r="I8" s="175"/>
      <c r="J8" s="175"/>
      <c r="K8" s="175"/>
      <c r="L8" s="175"/>
      <c r="M8" s="175"/>
      <c r="N8" s="176"/>
    </row>
    <row r="9" spans="2:14" ht="15" customHeight="1" x14ac:dyDescent="0.25">
      <c r="B9" s="174"/>
      <c r="C9" s="175"/>
      <c r="D9" s="175"/>
      <c r="E9" s="175"/>
      <c r="F9" s="175"/>
      <c r="G9" s="175"/>
      <c r="H9" s="175"/>
      <c r="I9" s="175"/>
      <c r="J9" s="175"/>
      <c r="K9" s="175"/>
      <c r="L9" s="175"/>
      <c r="M9" s="175"/>
      <c r="N9" s="176"/>
    </row>
    <row r="10" spans="2:14" ht="15" customHeight="1" x14ac:dyDescent="0.25">
      <c r="B10" s="174"/>
      <c r="C10" s="175"/>
      <c r="D10" s="175"/>
      <c r="E10" s="175"/>
      <c r="F10" s="175"/>
      <c r="G10" s="175"/>
      <c r="H10" s="175"/>
      <c r="I10" s="175"/>
      <c r="J10" s="175"/>
      <c r="K10" s="175"/>
      <c r="L10" s="175"/>
      <c r="M10" s="175"/>
      <c r="N10" s="176"/>
    </row>
    <row r="11" spans="2:14" ht="15" customHeight="1" x14ac:dyDescent="0.25">
      <c r="B11" s="174"/>
      <c r="C11" s="175"/>
      <c r="D11" s="175"/>
      <c r="E11" s="175"/>
      <c r="F11" s="175"/>
      <c r="G11" s="175"/>
      <c r="H11" s="175"/>
      <c r="I11" s="175"/>
      <c r="J11" s="175"/>
      <c r="K11" s="175"/>
      <c r="L11" s="175"/>
      <c r="M11" s="175"/>
      <c r="N11" s="176"/>
    </row>
    <row r="12" spans="2:14" ht="15" customHeight="1" x14ac:dyDescent="0.25">
      <c r="B12" s="174"/>
      <c r="C12" s="175"/>
      <c r="D12" s="175"/>
      <c r="E12" s="175"/>
      <c r="F12" s="175"/>
      <c r="G12" s="175"/>
      <c r="H12" s="175"/>
      <c r="I12" s="175"/>
      <c r="J12" s="175"/>
      <c r="K12" s="175"/>
      <c r="L12" s="175"/>
      <c r="M12" s="175"/>
      <c r="N12" s="176"/>
    </row>
    <row r="13" spans="2:14" ht="15" customHeight="1" x14ac:dyDescent="0.25">
      <c r="B13" s="174"/>
      <c r="C13" s="175"/>
      <c r="D13" s="175"/>
      <c r="E13" s="175"/>
      <c r="F13" s="175"/>
      <c r="G13" s="175"/>
      <c r="H13" s="175"/>
      <c r="I13" s="175"/>
      <c r="J13" s="175"/>
      <c r="K13" s="175"/>
      <c r="L13" s="175"/>
      <c r="M13" s="175"/>
      <c r="N13" s="176"/>
    </row>
    <row r="14" spans="2:14" ht="15" customHeight="1" x14ac:dyDescent="0.25">
      <c r="B14" s="174"/>
      <c r="C14" s="175"/>
      <c r="D14" s="175"/>
      <c r="E14" s="175"/>
      <c r="F14" s="175"/>
      <c r="G14" s="175"/>
      <c r="H14" s="175"/>
      <c r="I14" s="175"/>
      <c r="J14" s="175"/>
      <c r="K14" s="175"/>
      <c r="L14" s="175"/>
      <c r="M14" s="175"/>
      <c r="N14" s="176"/>
    </row>
    <row r="15" spans="2:14" ht="15" customHeight="1" x14ac:dyDescent="0.25">
      <c r="B15" s="174"/>
      <c r="C15" s="175"/>
      <c r="D15" s="175"/>
      <c r="E15" s="175"/>
      <c r="F15" s="175"/>
      <c r="G15" s="175"/>
      <c r="H15" s="175"/>
      <c r="I15" s="175"/>
      <c r="J15" s="175"/>
      <c r="K15" s="175"/>
      <c r="L15" s="175"/>
      <c r="M15" s="175"/>
      <c r="N15" s="176"/>
    </row>
    <row r="16" spans="2:14" ht="15" customHeight="1" x14ac:dyDescent="0.25">
      <c r="B16" s="174"/>
      <c r="C16" s="175"/>
      <c r="D16" s="175"/>
      <c r="E16" s="175"/>
      <c r="F16" s="175"/>
      <c r="G16" s="175"/>
      <c r="H16" s="175"/>
      <c r="I16" s="175"/>
      <c r="J16" s="175"/>
      <c r="K16" s="175"/>
      <c r="L16" s="175"/>
      <c r="M16" s="175"/>
      <c r="N16" s="176"/>
    </row>
    <row r="17" spans="2:14" ht="15" customHeight="1" x14ac:dyDescent="0.25">
      <c r="B17" s="174"/>
      <c r="C17" s="175"/>
      <c r="D17" s="175"/>
      <c r="E17" s="175"/>
      <c r="F17" s="175"/>
      <c r="G17" s="175"/>
      <c r="H17" s="175"/>
      <c r="I17" s="175"/>
      <c r="J17" s="175"/>
      <c r="K17" s="175"/>
      <c r="L17" s="175"/>
      <c r="M17" s="175"/>
      <c r="N17" s="176"/>
    </row>
    <row r="18" spans="2:14" ht="15" customHeight="1" x14ac:dyDescent="0.25">
      <c r="B18" s="174"/>
      <c r="C18" s="175"/>
      <c r="D18" s="175"/>
      <c r="E18" s="175"/>
      <c r="F18" s="175"/>
      <c r="G18" s="175"/>
      <c r="H18" s="175"/>
      <c r="I18" s="175"/>
      <c r="J18" s="175"/>
      <c r="K18" s="175"/>
      <c r="L18" s="175"/>
      <c r="M18" s="175"/>
      <c r="N18" s="176"/>
    </row>
    <row r="19" spans="2:14" ht="15" customHeight="1" x14ac:dyDescent="0.25">
      <c r="B19" s="174"/>
      <c r="C19" s="175"/>
      <c r="D19" s="175"/>
      <c r="E19" s="175"/>
      <c r="F19" s="175"/>
      <c r="G19" s="175"/>
      <c r="H19" s="175"/>
      <c r="I19" s="175"/>
      <c r="J19" s="175"/>
      <c r="K19" s="175"/>
      <c r="L19" s="175"/>
      <c r="M19" s="175"/>
      <c r="N19" s="176"/>
    </row>
    <row r="20" spans="2:14" ht="15" customHeight="1" x14ac:dyDescent="0.25">
      <c r="B20" s="174"/>
      <c r="C20" s="175"/>
      <c r="D20" s="175"/>
      <c r="E20" s="175"/>
      <c r="F20" s="175"/>
      <c r="G20" s="175"/>
      <c r="H20" s="175"/>
      <c r="I20" s="175"/>
      <c r="J20" s="175"/>
      <c r="K20" s="175"/>
      <c r="L20" s="175"/>
      <c r="M20" s="175"/>
      <c r="N20" s="176"/>
    </row>
    <row r="21" spans="2:14" ht="15" customHeight="1" x14ac:dyDescent="0.25">
      <c r="B21" s="177"/>
      <c r="C21" s="178"/>
      <c r="D21" s="178"/>
      <c r="E21" s="178"/>
      <c r="F21" s="178"/>
      <c r="G21" s="178"/>
      <c r="H21" s="178"/>
      <c r="I21" s="178"/>
      <c r="J21" s="178"/>
      <c r="K21" s="178"/>
      <c r="L21" s="178"/>
      <c r="M21" s="178"/>
      <c r="N21" s="179"/>
    </row>
    <row r="22" spans="2:14" ht="15" customHeight="1" x14ac:dyDescent="0.25">
      <c r="B22" s="40" t="s">
        <v>53</v>
      </c>
      <c r="C22" s="41"/>
      <c r="D22" s="41"/>
      <c r="E22" s="42"/>
      <c r="F22" s="42"/>
      <c r="G22" s="42"/>
      <c r="H22" s="42"/>
      <c r="I22" s="42"/>
      <c r="J22" s="42"/>
      <c r="K22" s="42"/>
      <c r="L22" s="42"/>
      <c r="M22" s="42"/>
      <c r="N22" s="43"/>
    </row>
    <row r="23" spans="2:14" ht="15" customHeight="1" x14ac:dyDescent="0.25">
      <c r="B23" s="171" t="s">
        <v>178</v>
      </c>
      <c r="C23" s="172"/>
      <c r="D23" s="172"/>
      <c r="E23" s="172"/>
      <c r="F23" s="172"/>
      <c r="G23" s="172"/>
      <c r="H23" s="172"/>
      <c r="I23" s="172"/>
      <c r="J23" s="172"/>
      <c r="K23" s="172"/>
      <c r="L23" s="172"/>
      <c r="M23" s="172"/>
      <c r="N23" s="173"/>
    </row>
    <row r="24" spans="2:14" ht="15" customHeight="1" x14ac:dyDescent="0.25">
      <c r="B24" s="174"/>
      <c r="C24" s="175"/>
      <c r="D24" s="175"/>
      <c r="E24" s="175"/>
      <c r="F24" s="175"/>
      <c r="G24" s="175"/>
      <c r="H24" s="175"/>
      <c r="I24" s="175"/>
      <c r="J24" s="175"/>
      <c r="K24" s="175"/>
      <c r="L24" s="175"/>
      <c r="M24" s="175"/>
      <c r="N24" s="176"/>
    </row>
    <row r="25" spans="2:14" ht="15" customHeight="1" x14ac:dyDescent="0.25">
      <c r="B25" s="174"/>
      <c r="C25" s="175"/>
      <c r="D25" s="175"/>
      <c r="E25" s="175"/>
      <c r="F25" s="175"/>
      <c r="G25" s="175"/>
      <c r="H25" s="175"/>
      <c r="I25" s="175"/>
      <c r="J25" s="175"/>
      <c r="K25" s="175"/>
      <c r="L25" s="175"/>
      <c r="M25" s="175"/>
      <c r="N25" s="176"/>
    </row>
    <row r="26" spans="2:14" ht="15" customHeight="1" x14ac:dyDescent="0.25">
      <c r="B26" s="174"/>
      <c r="C26" s="175"/>
      <c r="D26" s="175"/>
      <c r="E26" s="175"/>
      <c r="F26" s="175"/>
      <c r="G26" s="175"/>
      <c r="H26" s="175"/>
      <c r="I26" s="175"/>
      <c r="J26" s="175"/>
      <c r="K26" s="175"/>
      <c r="L26" s="175"/>
      <c r="M26" s="175"/>
      <c r="N26" s="176"/>
    </row>
    <row r="27" spans="2:14" ht="15" customHeight="1" x14ac:dyDescent="0.25">
      <c r="B27" s="174"/>
      <c r="C27" s="175"/>
      <c r="D27" s="175"/>
      <c r="E27" s="175"/>
      <c r="F27" s="175"/>
      <c r="G27" s="175"/>
      <c r="H27" s="175"/>
      <c r="I27" s="175"/>
      <c r="J27" s="175"/>
      <c r="K27" s="175"/>
      <c r="L27" s="175"/>
      <c r="M27" s="175"/>
      <c r="N27" s="176"/>
    </row>
    <row r="28" spans="2:14" ht="15" customHeight="1" x14ac:dyDescent="0.25">
      <c r="B28" s="174"/>
      <c r="C28" s="175"/>
      <c r="D28" s="175"/>
      <c r="E28" s="175"/>
      <c r="F28" s="175"/>
      <c r="G28" s="175"/>
      <c r="H28" s="175"/>
      <c r="I28" s="175"/>
      <c r="J28" s="175"/>
      <c r="K28" s="175"/>
      <c r="L28" s="175"/>
      <c r="M28" s="175"/>
      <c r="N28" s="176"/>
    </row>
    <row r="29" spans="2:14" ht="15" customHeight="1" x14ac:dyDescent="0.25">
      <c r="B29" s="174"/>
      <c r="C29" s="175"/>
      <c r="D29" s="175"/>
      <c r="E29" s="175"/>
      <c r="F29" s="175"/>
      <c r="G29" s="175"/>
      <c r="H29" s="175"/>
      <c r="I29" s="175"/>
      <c r="J29" s="175"/>
      <c r="K29" s="175"/>
      <c r="L29" s="175"/>
      <c r="M29" s="175"/>
      <c r="N29" s="176"/>
    </row>
    <row r="30" spans="2:14" ht="15" customHeight="1" x14ac:dyDescent="0.25">
      <c r="B30" s="174"/>
      <c r="C30" s="175"/>
      <c r="D30" s="175"/>
      <c r="E30" s="175"/>
      <c r="F30" s="175"/>
      <c r="G30" s="175"/>
      <c r="H30" s="175"/>
      <c r="I30" s="175"/>
      <c r="J30" s="175"/>
      <c r="K30" s="175"/>
      <c r="L30" s="175"/>
      <c r="M30" s="175"/>
      <c r="N30" s="176"/>
    </row>
    <row r="31" spans="2:14" ht="15" customHeight="1" x14ac:dyDescent="0.25">
      <c r="B31" s="174"/>
      <c r="C31" s="175"/>
      <c r="D31" s="175"/>
      <c r="E31" s="175"/>
      <c r="F31" s="175"/>
      <c r="G31" s="175"/>
      <c r="H31" s="175"/>
      <c r="I31" s="175"/>
      <c r="J31" s="175"/>
      <c r="K31" s="175"/>
      <c r="L31" s="175"/>
      <c r="M31" s="175"/>
      <c r="N31" s="176"/>
    </row>
    <row r="32" spans="2:14" ht="15" customHeight="1" x14ac:dyDescent="0.25">
      <c r="B32" s="174"/>
      <c r="C32" s="175"/>
      <c r="D32" s="175"/>
      <c r="E32" s="175"/>
      <c r="F32" s="175"/>
      <c r="G32" s="175"/>
      <c r="H32" s="175"/>
      <c r="I32" s="175"/>
      <c r="J32" s="175"/>
      <c r="K32" s="175"/>
      <c r="L32" s="175"/>
      <c r="M32" s="175"/>
      <c r="N32" s="176"/>
    </row>
    <row r="33" spans="2:14" ht="15" customHeight="1" x14ac:dyDescent="0.25">
      <c r="B33" s="174"/>
      <c r="C33" s="175"/>
      <c r="D33" s="175"/>
      <c r="E33" s="175"/>
      <c r="F33" s="175"/>
      <c r="G33" s="175"/>
      <c r="H33" s="175"/>
      <c r="I33" s="175"/>
      <c r="J33" s="175"/>
      <c r="K33" s="175"/>
      <c r="L33" s="175"/>
      <c r="M33" s="175"/>
      <c r="N33" s="176"/>
    </row>
    <row r="34" spans="2:14" ht="15" customHeight="1" x14ac:dyDescent="0.25">
      <c r="B34" s="174"/>
      <c r="C34" s="175"/>
      <c r="D34" s="175"/>
      <c r="E34" s="175"/>
      <c r="F34" s="175"/>
      <c r="G34" s="175"/>
      <c r="H34" s="175"/>
      <c r="I34" s="175"/>
      <c r="J34" s="175"/>
      <c r="K34" s="175"/>
      <c r="L34" s="175"/>
      <c r="M34" s="175"/>
      <c r="N34" s="176"/>
    </row>
    <row r="35" spans="2:14" ht="15" customHeight="1" x14ac:dyDescent="0.25">
      <c r="B35" s="174"/>
      <c r="C35" s="175"/>
      <c r="D35" s="175"/>
      <c r="E35" s="175"/>
      <c r="F35" s="175"/>
      <c r="G35" s="175"/>
      <c r="H35" s="175"/>
      <c r="I35" s="175"/>
      <c r="J35" s="175"/>
      <c r="K35" s="175"/>
      <c r="L35" s="175"/>
      <c r="M35" s="175"/>
      <c r="N35" s="176"/>
    </row>
    <row r="36" spans="2:14" ht="15" customHeight="1" x14ac:dyDescent="0.25">
      <c r="B36" s="174"/>
      <c r="C36" s="175"/>
      <c r="D36" s="175"/>
      <c r="E36" s="175"/>
      <c r="F36" s="175"/>
      <c r="G36" s="175"/>
      <c r="H36" s="175"/>
      <c r="I36" s="175"/>
      <c r="J36" s="175"/>
      <c r="K36" s="175"/>
      <c r="L36" s="175"/>
      <c r="M36" s="175"/>
      <c r="N36" s="176"/>
    </row>
    <row r="37" spans="2:14" ht="15" customHeight="1" x14ac:dyDescent="0.25">
      <c r="B37" s="174"/>
      <c r="C37" s="175"/>
      <c r="D37" s="175"/>
      <c r="E37" s="175"/>
      <c r="F37" s="175"/>
      <c r="G37" s="175"/>
      <c r="H37" s="175"/>
      <c r="I37" s="175"/>
      <c r="J37" s="175"/>
      <c r="K37" s="175"/>
      <c r="L37" s="175"/>
      <c r="M37" s="175"/>
      <c r="N37" s="176"/>
    </row>
    <row r="38" spans="2:14" ht="15" customHeight="1" x14ac:dyDescent="0.25">
      <c r="B38" s="174"/>
      <c r="C38" s="175"/>
      <c r="D38" s="175"/>
      <c r="E38" s="175"/>
      <c r="F38" s="175"/>
      <c r="G38" s="175"/>
      <c r="H38" s="175"/>
      <c r="I38" s="175"/>
      <c r="J38" s="175"/>
      <c r="K38" s="175"/>
      <c r="L38" s="175"/>
      <c r="M38" s="175"/>
      <c r="N38" s="176"/>
    </row>
    <row r="39" spans="2:14" ht="15" customHeight="1" x14ac:dyDescent="0.25">
      <c r="B39" s="174"/>
      <c r="C39" s="175"/>
      <c r="D39" s="175"/>
      <c r="E39" s="175"/>
      <c r="F39" s="175"/>
      <c r="G39" s="175"/>
      <c r="H39" s="175"/>
      <c r="I39" s="175"/>
      <c r="J39" s="175"/>
      <c r="K39" s="175"/>
      <c r="L39" s="175"/>
      <c r="M39" s="175"/>
      <c r="N39" s="176"/>
    </row>
    <row r="40" spans="2:14" ht="15" customHeight="1" x14ac:dyDescent="0.25">
      <c r="B40" s="174"/>
      <c r="C40" s="175"/>
      <c r="D40" s="175"/>
      <c r="E40" s="175"/>
      <c r="F40" s="175"/>
      <c r="G40" s="175"/>
      <c r="H40" s="175"/>
      <c r="I40" s="175"/>
      <c r="J40" s="175"/>
      <c r="K40" s="175"/>
      <c r="L40" s="175"/>
      <c r="M40" s="175"/>
      <c r="N40" s="176"/>
    </row>
    <row r="41" spans="2:14" ht="15" customHeight="1" x14ac:dyDescent="0.25">
      <c r="B41" s="177"/>
      <c r="C41" s="178"/>
      <c r="D41" s="178"/>
      <c r="E41" s="178"/>
      <c r="F41" s="178"/>
      <c r="G41" s="178"/>
      <c r="H41" s="178"/>
      <c r="I41" s="178"/>
      <c r="J41" s="178"/>
      <c r="K41" s="178"/>
      <c r="L41" s="178"/>
      <c r="M41" s="178"/>
      <c r="N41" s="179"/>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Melanie Maddocks</cp:lastModifiedBy>
  <cp:lastPrinted>2022-11-14T15:01:36Z</cp:lastPrinted>
  <dcterms:created xsi:type="dcterms:W3CDTF">2015-11-05T21:44:37Z</dcterms:created>
  <dcterms:modified xsi:type="dcterms:W3CDTF">2023-01-26T23:06:42Z</dcterms:modified>
</cp:coreProperties>
</file>