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M:\All Active Client Files\Q - Z\RMHP\Special Projects\Behavioral Health Integration\Financial Template v9 - SFY 23\RAE BH\LA Workpapers\"/>
    </mc:Choice>
  </mc:AlternateContent>
  <xr:revisionPtr revIDLastSave="0" documentId="13_ncr:1_{E69DD323-43E3-49D7-8238-B16206834A27}" xr6:coauthVersionLast="47" xr6:coauthVersionMax="47" xr10:uidLastSave="{00000000-0000-0000-0000-000000000000}"/>
  <bookViews>
    <workbookView xWindow="-120" yWindow="-120" windowWidth="29040" windowHeight="15840" xr2:uid="{00000000-000D-0000-FFFF-FFFF00000000}"/>
  </bookViews>
  <sheets>
    <sheet name="Overview" sheetId="2" r:id="rId1"/>
    <sheet name="Report 1. MLR Template" sheetId="1" r:id="rId2"/>
    <sheet name="Report 2. MLR Quality Metrics" sheetId="17" r:id="rId3"/>
    <sheet name="Report 3. Admin Non-Claim Costs" sheetId="18" r:id="rId4"/>
    <sheet name="Report 4A. SUD RC Data" sheetId="8" r:id="rId5"/>
    <sheet name="Report 4B. SUD RC Calc" sheetId="11" r:id="rId6"/>
    <sheet name="Report 5. Certification" sheetId="4" r:id="rId7"/>
    <sheet name="Credibility Table" sheetId="15" r:id="rId8"/>
    <sheet name="RAE Scratch Sheet" sheetId="16" r:id="rId9"/>
  </sheets>
  <definedNames>
    <definedName name="_xlnm.Print_Area" localSheetId="7">'Credibility Table'!$A$2:$E$19</definedName>
    <definedName name="_xlnm.Print_Area" localSheetId="0">Overview!$B$2:$I$85</definedName>
    <definedName name="_xlnm.Print_Area" localSheetId="8">'RAE Scratch Sheet'!$B$2:$N$34</definedName>
    <definedName name="_xlnm.Print_Area" localSheetId="1">'Report 1. MLR Template'!$B$2:$D$55,'Report 1. MLR Template'!$E$2:$E$55,'Report 1. MLR Template'!$F$2:$F$55,'Report 1. MLR Template'!$G$2:$G$55,'Report 1. MLR Template'!$H$2:$H$55,'Report 1. MLR Template'!$I$2:$I$55,'Report 1. MLR Template'!$J$2:$J$55,'Report 1. MLR Template'!$K$2:$K$55</definedName>
    <definedName name="_xlnm.Print_Area" localSheetId="2">'Report 2. MLR Quality Metrics'!$B$2:$E$15</definedName>
    <definedName name="_xlnm.Print_Area" localSheetId="3">'Report 3. Admin Non-Claim Costs'!$B$2:$D$63</definedName>
    <definedName name="_xlnm.Print_Area" localSheetId="4">'Report 4A. SUD RC Data'!$B$2:$P$94</definedName>
    <definedName name="_xlnm.Print_Area" localSheetId="5">'Report 4B. SUD RC Calc'!$B$2:$J$64</definedName>
    <definedName name="_xlnm.Print_Titles" localSheetId="3">'Report 3. Admin Non-Claim Costs'!$2:$6</definedName>
    <definedName name="_xlnm.Print_Titles" localSheetId="4">'Report 4A. SUD RC Data'!$2:$6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F23" i="1"/>
  <c r="G23" i="1"/>
  <c r="H23" i="1"/>
  <c r="I23" i="1"/>
  <c r="J23" i="1"/>
  <c r="D23" i="1"/>
  <c r="J21" i="1"/>
  <c r="I21" i="1"/>
  <c r="H21" i="1"/>
  <c r="G21" i="1"/>
  <c r="F21" i="1"/>
  <c r="E21" i="1"/>
  <c r="D21" i="1"/>
  <c r="D50" i="11"/>
  <c r="E11" i="1"/>
  <c r="F11" i="1"/>
  <c r="G11" i="1"/>
  <c r="H11" i="1"/>
  <c r="I11" i="1"/>
  <c r="J11" i="1"/>
  <c r="D11" i="1"/>
  <c r="E22" i="1" l="1"/>
  <c r="F22" i="1"/>
  <c r="G22" i="1"/>
  <c r="H22" i="1"/>
  <c r="I22" i="1"/>
  <c r="J22" i="1"/>
  <c r="D22" i="1"/>
  <c r="E24" i="1"/>
  <c r="F24" i="1"/>
  <c r="G24" i="1"/>
  <c r="H24" i="1"/>
  <c r="I24" i="1"/>
  <c r="J24" i="1"/>
  <c r="D24" i="1"/>
  <c r="K16" i="1" l="1"/>
  <c r="K12" i="1"/>
  <c r="K10" i="1"/>
  <c r="K9" i="1"/>
  <c r="K8" i="1"/>
  <c r="E26" i="1" l="1"/>
  <c r="H25" i="1"/>
  <c r="G26" i="1"/>
  <c r="J25" i="1"/>
  <c r="I26" i="1"/>
  <c r="D26" i="1"/>
  <c r="E25" i="1"/>
  <c r="F25" i="1"/>
  <c r="F26" i="1"/>
  <c r="K26" i="1" s="1"/>
  <c r="I25" i="1"/>
  <c r="D25" i="1"/>
  <c r="J26" i="1"/>
  <c r="G25" i="1"/>
  <c r="H26" i="1"/>
  <c r="K30" i="1"/>
  <c r="K29" i="1"/>
  <c r="K28" i="1"/>
  <c r="K27" i="1"/>
  <c r="K24" i="1"/>
  <c r="K23" i="1"/>
  <c r="K20" i="1"/>
  <c r="K19" i="1"/>
  <c r="K36" i="1"/>
  <c r="K37" i="1" s="1"/>
  <c r="C5" i="18"/>
  <c r="C3" i="18"/>
  <c r="C2" i="18"/>
  <c r="D54" i="18"/>
  <c r="D43" i="18"/>
  <c r="D55" i="18" s="1"/>
  <c r="C5" i="17"/>
  <c r="C3" i="17"/>
  <c r="C2" i="17"/>
  <c r="B43" i="11"/>
  <c r="C5" i="4"/>
  <c r="C5" i="11"/>
  <c r="C5" i="8"/>
  <c r="C5" i="1"/>
  <c r="K21" i="1" l="1"/>
  <c r="J31" i="1"/>
  <c r="G31" i="1"/>
  <c r="F31" i="1"/>
  <c r="I31" i="1"/>
  <c r="H31" i="1"/>
  <c r="K11" i="1"/>
  <c r="K13" i="1" s="1"/>
  <c r="B17" i="15"/>
  <c r="C17" i="15" s="1"/>
  <c r="K33" i="1" s="1"/>
  <c r="E31" i="1" l="1"/>
  <c r="K22" i="1"/>
  <c r="D31" i="1"/>
  <c r="K25" i="1"/>
  <c r="C3" i="1"/>
  <c r="K31" i="1" l="1"/>
  <c r="H18" i="1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11"/>
  <c r="C3"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N96" i="8" l="1"/>
  <c r="P96" i="8"/>
  <c r="F96" i="8"/>
  <c r="M96" i="8"/>
  <c r="O96" i="8"/>
  <c r="D96" i="8"/>
  <c r="E96" i="8"/>
  <c r="G96" i="8"/>
  <c r="H96" i="8"/>
  <c r="L96" i="8"/>
  <c r="E24" i="11"/>
  <c r="I16" i="11"/>
  <c r="I17" i="11"/>
  <c r="G19" i="11"/>
  <c r="D24" i="11"/>
  <c r="E19" i="11"/>
  <c r="I18" i="11"/>
  <c r="G24" i="11"/>
  <c r="H12" i="11"/>
  <c r="D19" i="11"/>
  <c r="D23" i="11"/>
  <c r="I9" i="11"/>
  <c r="I11" i="11"/>
  <c r="I25" i="11" s="1"/>
  <c r="H19" i="11"/>
  <c r="I10" i="11"/>
  <c r="H24" i="11"/>
  <c r="G12" i="11"/>
  <c r="F19" i="11"/>
  <c r="F12" i="11"/>
  <c r="F24" i="11"/>
  <c r="D12" i="11"/>
  <c r="E12" i="11"/>
  <c r="I23" i="11" l="1"/>
  <c r="G26" i="11"/>
  <c r="H26" i="11"/>
  <c r="F26" i="11"/>
  <c r="E26" i="11"/>
  <c r="I24" i="11"/>
  <c r="I19" i="11"/>
  <c r="J50" i="11" s="1"/>
  <c r="D26" i="11"/>
  <c r="I12" i="11"/>
  <c r="C2" i="4"/>
  <c r="C37" i="11" l="1"/>
  <c r="I26" i="11"/>
  <c r="D37" i="11" s="1"/>
  <c r="C2" i="1"/>
  <c r="E37" i="11" l="1"/>
  <c r="D51" i="11" s="1"/>
  <c r="D52" i="11" l="1"/>
  <c r="D53" i="11" s="1"/>
  <c r="D54" i="11"/>
  <c r="D56" i="11" s="1"/>
  <c r="D55" i="11" l="1"/>
  <c r="D58" i="11" l="1"/>
  <c r="K14" i="1" l="1"/>
  <c r="K15" i="1" s="1"/>
  <c r="K32" i="1" s="1"/>
  <c r="K34" i="1" s="1"/>
  <c r="K38" i="1" s="1"/>
  <c r="K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Edrington</author>
  </authors>
  <commentList>
    <comment ref="C35" authorId="0" shapeId="0" xr:uid="{7063870C-6318-4BD8-B84A-F679D6D14493}">
      <text>
        <r>
          <rPr>
            <sz val="9"/>
            <color indexed="81"/>
            <rFont val="Tahoma"/>
            <family val="2"/>
          </rPr>
          <t>Please include other administrative costs. For example, include the administrative portion of delegated administrative expenses such as Third Party Administrator (TPA) payments that cover costs such as claims processing and medical management of the TPA to the extent that these costs are not included in the above-listed items.</t>
        </r>
      </text>
    </comment>
  </commentList>
</comments>
</file>

<file path=xl/sharedStrings.xml><?xml version="1.0" encoding="utf-8"?>
<sst xmlns="http://schemas.openxmlformats.org/spreadsheetml/2006/main" count="641" uniqueCount="298">
  <si>
    <t>Medical Incentive Bonus</t>
  </si>
  <si>
    <t>Minimum MLR %</t>
  </si>
  <si>
    <t>Estimated IBNR</t>
  </si>
  <si>
    <t>MMs</t>
  </si>
  <si>
    <t>Earned Revenue for MLR/Risk Corridor</t>
  </si>
  <si>
    <t>Line</t>
  </si>
  <si>
    <t>a</t>
  </si>
  <si>
    <t>b</t>
  </si>
  <si>
    <t>c</t>
  </si>
  <si>
    <t>d</t>
  </si>
  <si>
    <t>e</t>
  </si>
  <si>
    <t>f</t>
  </si>
  <si>
    <t>g</t>
  </si>
  <si>
    <t>h</t>
  </si>
  <si>
    <t>i</t>
  </si>
  <si>
    <t>n</t>
  </si>
  <si>
    <t>m</t>
  </si>
  <si>
    <t>o</t>
  </si>
  <si>
    <t>p</t>
  </si>
  <si>
    <t>l</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</si>
  <si>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</si>
  <si>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</si>
  <si>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</si>
  <si>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</si>
  <si>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</si>
  <si>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</si>
  <si>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</si>
  <si>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</si>
  <si>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AwDC</t>
  </si>
  <si>
    <t>Total</t>
  </si>
  <si>
    <t>MLR Calculation</t>
  </si>
  <si>
    <t>Please provide any text, tables, numbers, etc. that you would like to communicate but were not able to include within the preceding reports.</t>
  </si>
  <si>
    <t>For non-applicable line items, please leave blank.</t>
  </si>
  <si>
    <t>Please provide any details surrounding allocation methodology used in completing template.</t>
  </si>
  <si>
    <t>Non Expansion Parents</t>
  </si>
  <si>
    <t>Children</t>
  </si>
  <si>
    <t>Expansion Parents</t>
  </si>
  <si>
    <t>Foster Care</t>
  </si>
  <si>
    <t>Elderly</t>
  </si>
  <si>
    <t>Disabled</t>
  </si>
  <si>
    <t>3.2 WM</t>
  </si>
  <si>
    <t>3.7 WM</t>
  </si>
  <si>
    <t>SUD Service</t>
  </si>
  <si>
    <t>SUD IP/Medical Detox</t>
  </si>
  <si>
    <t>SUD Residential</t>
  </si>
  <si>
    <t>SUD IMD</t>
  </si>
  <si>
    <t>Please note that any cells shaded in light orange are to be completed by the RAE.</t>
  </si>
  <si>
    <t>RAE Name:</t>
  </si>
  <si>
    <t>RAE</t>
  </si>
  <si>
    <t>Days by ASAM Level/SUD Service</t>
  </si>
  <si>
    <t>3.1</t>
  </si>
  <si>
    <t>3.5</t>
  </si>
  <si>
    <t>3.7</t>
  </si>
  <si>
    <t>SUD Earned Revenue Calculation</t>
  </si>
  <si>
    <t>SUD PMPMs</t>
  </si>
  <si>
    <t>Special Connections</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</si>
  <si>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</si>
  <si>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</si>
  <si>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</si>
  <si>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</si>
  <si>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</si>
  <si>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</si>
  <si>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</si>
  <si>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</si>
  <si>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</si>
  <si>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</si>
  <si>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 xml:space="preserve">Each RAE is requested to complete each report within the template to the best of its ability. </t>
  </si>
  <si>
    <t>State of Colorado - MLR/Risk Corridor Reporting Template</t>
  </si>
  <si>
    <t>RAE Scratch Sheet</t>
  </si>
  <si>
    <t>RAE:</t>
  </si>
  <si>
    <t>Dollars by ASAM Level/SUD Service</t>
  </si>
  <si>
    <t>RAE Region:</t>
  </si>
  <si>
    <t>This report will be used to assess the MLR, including risk corridor for SUD carve-in services, for the Colorado Medicaid Behavioral Health program.</t>
  </si>
  <si>
    <t>SUD IP/Med Detox</t>
  </si>
  <si>
    <t>Wght Avg</t>
  </si>
  <si>
    <t>Implied Loss Ratio 
(b / a)</t>
  </si>
  <si>
    <t>Profit/(Loss) (a - b)</t>
  </si>
  <si>
    <t>Profit/(Loss) % (c / a)</t>
  </si>
  <si>
    <t>Risk Corridor Profit/(Loss) Share</t>
  </si>
  <si>
    <t>Fraud Prevention Activities</t>
  </si>
  <si>
    <t xml:space="preserve">SFY22 SUD Risk Corridor </t>
  </si>
  <si>
    <t>Final Unit Cost</t>
  </si>
  <si>
    <t>Earned Revenue*</t>
  </si>
  <si>
    <t>Total Medical Expenses*</t>
  </si>
  <si>
    <t>f1</t>
  </si>
  <si>
    <t>5%+ Band: 0% Risk</t>
  </si>
  <si>
    <t>f2</t>
  </si>
  <si>
    <t>1%-5% Band: 50% Risk</t>
  </si>
  <si>
    <t>f3</t>
  </si>
  <si>
    <t>0%-1% Band: 100% Risk</t>
  </si>
  <si>
    <t>*Administrative expenses are removed from the SUD risk corridor calculation.</t>
  </si>
  <si>
    <t>July 1, 2022 - June 30, 2023</t>
  </si>
  <si>
    <t>Value</t>
  </si>
  <si>
    <t>Administrative Non-Claim Costs</t>
  </si>
  <si>
    <t>q</t>
  </si>
  <si>
    <t>r</t>
  </si>
  <si>
    <t>s</t>
  </si>
  <si>
    <t>SUD Risk Corridor Data</t>
  </si>
  <si>
    <t>Special Connections for July 1, 2022 through June 30, 2023:</t>
  </si>
  <si>
    <t>SFY23 Per Diems</t>
  </si>
  <si>
    <t>Service Incurral Period:</t>
  </si>
  <si>
    <t>Credibility Adjustment for Medicaid and CHIP Managed Care Plans with Rating Periods
 Beginning July 1, 2017 or Later*</t>
  </si>
  <si>
    <t>Reporting Year Member Months</t>
  </si>
  <si>
    <t>Credibility Adjustment</t>
  </si>
  <si>
    <t>&lt; 5,400</t>
  </si>
  <si>
    <t>Non-credible</t>
  </si>
  <si>
    <t>&gt;380,000</t>
  </si>
  <si>
    <t>Fully Credible</t>
  </si>
  <si>
    <t>*Adjustment applied rounded to the nearest tenth using linear interpolation. Table developed by CMS Office of the Actuary.</t>
  </si>
  <si>
    <t>Member Months Input</t>
  </si>
  <si>
    <t>Calculated Adjustment</t>
  </si>
  <si>
    <t>Please sign and return the certification statement associated with this report, which is contained in a separate document.</t>
  </si>
  <si>
    <t>Submission Certification (by RAE CEO/CFO)</t>
  </si>
  <si>
    <t>Reporting Template Contents:</t>
  </si>
  <si>
    <t>Report 1</t>
  </si>
  <si>
    <t>MLR Template</t>
  </si>
  <si>
    <t>Report 2</t>
  </si>
  <si>
    <t>MLR Quality Metrics</t>
  </si>
  <si>
    <t>Report 3</t>
  </si>
  <si>
    <t>Credibility Table</t>
  </si>
  <si>
    <t>Determines if a credibility adjustment is necessary</t>
  </si>
  <si>
    <t>Use to provide supplemental information</t>
  </si>
  <si>
    <t>Report 5</t>
  </si>
  <si>
    <t>Report 4A</t>
  </si>
  <si>
    <t>Report 4B</t>
  </si>
  <si>
    <t>SUD Risk Corridor Calculation</t>
  </si>
  <si>
    <t>Report 1. MLR Template</t>
  </si>
  <si>
    <t>Please enter the following components associated with the revenue (denominator) of the MLR calculation for each COA, to the extent they are applicable under 42 CFR 438.8:</t>
  </si>
  <si>
    <t>• Line a - Gross Capitation Payments Total Revenue: Total capitation payment revenue incurred during the contract period, inclusive of withholds to the extent they exist.</t>
  </si>
  <si>
    <t>• Line b - Contractor Withhold: Portion of the capitation payment revenue withheld during the contract period.</t>
  </si>
  <si>
    <t xml:space="preserve">• Line d - Taxes, Licensing, and Regulatory fees: Applicable taxes, licensing, and regulatory fees as defined in 42 CFR 438.8(f)(3). </t>
  </si>
  <si>
    <t xml:space="preserve">• Line e - Community Benefit Expenditures: Enter the total revenue offsetting expenditures for community benefits as a positive value. Reference 42 CFR 438.8(f)(3)(v) for additional details. </t>
  </si>
  <si>
    <t xml:space="preserve">   Please include additional details on any reported Community Benefit Expenditures in the text box below the MLR template.</t>
  </si>
  <si>
    <t>• Line g - Risk Corridor (Plan)/State Share: Any transfer of revenue as a result of a risk corridor reconciliation for the contract period.</t>
  </si>
  <si>
    <t>• Line i - Member Months: Total membership for the COA during the contract period.</t>
  </si>
  <si>
    <t>Please enter the following components associated with the medical expenditures (numerator) of the MLR calculation for each COA, to the extent they are applicable under 42 CFR 438.8:</t>
  </si>
  <si>
    <t>• Line j - Claims Incurred (Non-Subcapitations): Paid amount for covered medical services that generated a medical claim.</t>
  </si>
  <si>
    <t xml:space="preserve">   https://www.medicaid.gov/sites/default/files/Federal-Policy-Guidance/Downloads/cib051519.pdf</t>
  </si>
  <si>
    <t>• Line l - Estimated IBNR: Total estimated incurred, but not reported claims expenditures incurred during the period.</t>
  </si>
  <si>
    <t>• Line m - Indirect Claims Costs (Provider Reconciliations, Settlements, etc.): Provider reimbursement reconciliation payments incurred during the period that are settled outside of the claims/encounter system.</t>
  </si>
  <si>
    <t>• Line o - Other Allowable "Incurred Claims": This line should include any expenditures classified as "Incurred Claims" per CFR 438.8(e)(2), not included above, in lines j-n of this report.</t>
  </si>
  <si>
    <t>• Line p - Activities that Improve Health Care Quality - Salary QI Amounts: Associated salaries for health care quality expenses incurred during the period as defined in CFR 438.8(e)(3).</t>
  </si>
  <si>
    <t>• Line q - Activities that Improve Health Care Quality - Non-salary QI Amounts: Non-salary health care quality expenses incurred during the period as defined in CFR 438.8(e)(3).</t>
  </si>
  <si>
    <t xml:space="preserve">   Please include a breakout and description of each activity that is included within the HCQ lines. </t>
  </si>
  <si>
    <t>• Line r - Fraud Reduction Activities: Expenses incurred for fraud reduction, prevention and recovery activities during the period as defined in CFR 438.8(e)(4).</t>
  </si>
  <si>
    <t>• Line t - Reinsurance Recoveries: Reinsurance recoveries should be based on service date of the claim for which the recovery is made. Enter the recovery amounts as a negative value.</t>
  </si>
  <si>
    <t xml:space="preserve">• Line u - Less Related-Party Medical Margin: Fees to a related party, such as a parent/sister organization, or claims to a related party above what an unrelated party would have paid, consistent with </t>
  </si>
  <si>
    <t xml:space="preserve">   Medicare Part C reporting 42 CFR 422.516(b)(2), incurred during the period. Please enter the Related-Party Medical Margin as a negative.</t>
  </si>
  <si>
    <t>The 'Total' section will calculate automatically based on the values populated within the individual COA sections.</t>
  </si>
  <si>
    <t xml:space="preserve">If line items are not able to be filled out at the COA level please fill in the 'Total' section where applicable. </t>
  </si>
  <si>
    <t>If there is a difference in reporting between the MRT submitted to the Department and the MLR, provide an explanation and supporting documentation.</t>
  </si>
  <si>
    <t>Report 2. MLR Quality Metrics</t>
  </si>
  <si>
    <t>Please use the drop down selections (Yes/No) within this worksheet to indicate whether the plan has met the quality metrics for the reporting period.</t>
  </si>
  <si>
    <t>Report 3. Admin Non-Claim Costs</t>
  </si>
  <si>
    <t>Please use this worksheet to itemize non-claim administrative costs and provide details to substantiate the expenses.</t>
  </si>
  <si>
    <t>Determines whether a credibility adjustment is necessary for the MLR calculation based on the total membership reported across all COAs.</t>
  </si>
  <si>
    <t>• Line c - Earned Withhold: Amount of withhold earned back by the RAE.</t>
  </si>
  <si>
    <t xml:space="preserve">   Total net taxes/fees should not be negative unless total net taxes/fees increase the RAE's revenue.</t>
  </si>
  <si>
    <t xml:space="preserve">   Payments made from the RAE to the Department should be entered as a negative value. Payments from the Department to the RAE should be entered as positive.</t>
  </si>
  <si>
    <t>• Line k - Claims Incurred (Subcapitations): Paid amount for covered medical services the RAE subcapitates or delegates to a separate entity.</t>
  </si>
  <si>
    <t xml:space="preserve">   The RAE may only include reimbursement for medical expenses of third-party vendors, as clarified in the CMCS Informational Bulletin from May 15, 2019.</t>
  </si>
  <si>
    <t>• Line n - Medical Incentive Bonus: Incurred payments made by the RAE to providers and other unrelated risk sharing entities to share savings.</t>
  </si>
  <si>
    <t>Please provide certification by the RAE's CEO or CFO that the figures in this reporting template are accurate and representative of plan experience for the given time period.</t>
  </si>
  <si>
    <t>Report 5. Certification</t>
  </si>
  <si>
    <t>Any differences from the administrative expenses previously reported in the MRT should be itemized on the RAE Scratch Sheet.</t>
  </si>
  <si>
    <t xml:space="preserve">   Please provide additional supporting information on the RAE Scratch Sheet itemizing any Indirect Claims Costs.</t>
  </si>
  <si>
    <t xml:space="preserve">   The costs associated with each activity should be itemized within this template, either on Report 1 or the RAE Scratch Sheet.</t>
  </si>
  <si>
    <t>Report 4A. SUD Risk Corridor Data</t>
  </si>
  <si>
    <t>Report 4B. SUD Risk Corridor Calculation</t>
  </si>
  <si>
    <t>Please use this worksheet to report data for SUD expansion services.</t>
  </si>
  <si>
    <t>This tab calculates the results of the SUD expansion risk corridor calculation that feeds into the MLR calculation.</t>
  </si>
  <si>
    <t>Gross Capitation Payments Total Revenue</t>
  </si>
  <si>
    <t>Contractor Withhold (a * withhold %)</t>
  </si>
  <si>
    <t>Earned Withhold</t>
  </si>
  <si>
    <t>Taxes, Licensing, and Regulatory fees</t>
  </si>
  <si>
    <t>Community Benefit Expenditures</t>
  </si>
  <si>
    <t>Earned Revenue for MLR (a - b + c - d - e)</t>
  </si>
  <si>
    <t>Member Months</t>
  </si>
  <si>
    <t>MLR Metrics</t>
  </si>
  <si>
    <t xml:space="preserve">Each Quality Metric is valued as a 1% reduction to the minimum required MLR. </t>
  </si>
  <si>
    <t>The Department will evaluate the metrics when finalizing the MLR calculation.</t>
  </si>
  <si>
    <t>Metric #</t>
  </si>
  <si>
    <t>Quality Metric Description</t>
  </si>
  <si>
    <t>Met (Yes/No)</t>
  </si>
  <si>
    <t>[INSERT Quality Metric]</t>
  </si>
  <si>
    <t>Administrative Non-Claim Costs:</t>
  </si>
  <si>
    <t xml:space="preserve">Non-claim costs are a reporting requirement by CMS but they are not allowable in the MLR calculation. </t>
  </si>
  <si>
    <t>Itemize costs below consistent with the MRT submissions and provide details to substantiate the expenses.</t>
  </si>
  <si>
    <t>Per CFR 438.8(k)(iv):</t>
  </si>
  <si>
    <t>Non-claims costs means those expenses for administrative services that are not:</t>
  </si>
  <si>
    <t>Incurred claims (as defined in paragraph (2) of this section);</t>
  </si>
  <si>
    <t>expenditures on activities that improve health care quality (as defined in paragraph (e)(3) of this section);</t>
  </si>
  <si>
    <t>or licensing and regulatory fees, or Federal and State taxes (as defined in paragraph (f)(2) of this section).</t>
  </si>
  <si>
    <t>Administrative Category</t>
  </si>
  <si>
    <t>Section 1: Allowable Administrative Expenses per 45 CFR Part 75 and 42 CFR Part 413</t>
  </si>
  <si>
    <t>Corporate Salaries</t>
  </si>
  <si>
    <t>Management Salaries</t>
  </si>
  <si>
    <t>Other Salaries</t>
  </si>
  <si>
    <t>Corporate Services</t>
  </si>
  <si>
    <t>Parent Fees</t>
  </si>
  <si>
    <t>Non-Parent Administrative Service Fees</t>
  </si>
  <si>
    <t>Operation Expenses</t>
  </si>
  <si>
    <t>General Administration Costs</t>
  </si>
  <si>
    <t>Member Services</t>
  </si>
  <si>
    <t>Claim Processing</t>
  </si>
  <si>
    <t>Network Development</t>
  </si>
  <si>
    <t>Professional Services</t>
  </si>
  <si>
    <t>Non-State Plan Covered Value Added Services</t>
  </si>
  <si>
    <t>PBM Spread Pricing Value and/or Fees</t>
  </si>
  <si>
    <t>Non-Prevention Fraud Expenses</t>
  </si>
  <si>
    <t>Allowable Marketing and Advertising</t>
  </si>
  <si>
    <t>Other Admin Costs</t>
  </si>
  <si>
    <t>Reinsurance Premiums</t>
  </si>
  <si>
    <t>Community Benefit Expenditures (Not-for-Profits)</t>
  </si>
  <si>
    <t>Federal Income Taxes</t>
  </si>
  <si>
    <t>State and Local Income Taxes</t>
  </si>
  <si>
    <t>Premium Taxes</t>
  </si>
  <si>
    <t>Other Taxes, Licensing, and Regulatory Fees</t>
  </si>
  <si>
    <t>Total Allowable Administrative Expense</t>
  </si>
  <si>
    <t>Section 2: Unallowable Administrative Expenses per 45 CFR Part 75 and 42 CFR Part 413</t>
  </si>
  <si>
    <t>Bad Debt</t>
  </si>
  <si>
    <t>Contributions and Donations</t>
  </si>
  <si>
    <t>Unallowable Interest</t>
  </si>
  <si>
    <t xml:space="preserve">Lobbying </t>
  </si>
  <si>
    <t>Unallowable Marketing and Advertising</t>
  </si>
  <si>
    <t>Unallowable Related Party Costs</t>
  </si>
  <si>
    <t>Other (specify):</t>
  </si>
  <si>
    <t>Total Unallowable Administrative Expense</t>
  </si>
  <si>
    <t>Grand Total Administrative Expense (Sections 1 and 2)</t>
  </si>
  <si>
    <t>Please describe any "Other Admin Costs" in the box below:</t>
  </si>
  <si>
    <t>*Risk Corridor: (Plan)/State Share</t>
  </si>
  <si>
    <t>*Adjusted Earned Revenue for MLR (f + g)</t>
  </si>
  <si>
    <t>j</t>
  </si>
  <si>
    <t>Claims Incurred (Non-Subcapitations)</t>
  </si>
  <si>
    <t>k</t>
  </si>
  <si>
    <t>Claims Incurred (Subcapitations)</t>
  </si>
  <si>
    <t>Indirect Claims Costs (Provider Reconciliations, Settlements, etc.)</t>
  </si>
  <si>
    <t>Other Allowable "Incurred Claims"</t>
  </si>
  <si>
    <t>Activities that Improve Health Care Quality - Salary QI Amounts</t>
  </si>
  <si>
    <t>Activities that Improve Health Care Quality - Non-salary QI Amounts</t>
  </si>
  <si>
    <t>Fraud Reduction Activities</t>
  </si>
  <si>
    <t>t</t>
  </si>
  <si>
    <t>Reinsurance Recoveries (enter as negative)</t>
  </si>
  <si>
    <t>u</t>
  </si>
  <si>
    <t>Less Related-Party Medical Margin (enter as negative)</t>
  </si>
  <si>
    <t>v</t>
  </si>
  <si>
    <t>Total Medical Expenses (Net Qualified Medical Expenses)
 (j + k + l + m + n + o + p + q + r + s + t + u)</t>
  </si>
  <si>
    <t>w</t>
  </si>
  <si>
    <t>Net Qualified Medical Expenses divided by Adjusted Earned Revenue (v / h)</t>
  </si>
  <si>
    <t>x</t>
  </si>
  <si>
    <t>y</t>
  </si>
  <si>
    <t>Credibility Adjusted MLR (w + x)</t>
  </si>
  <si>
    <t>z</t>
  </si>
  <si>
    <t>aa</t>
  </si>
  <si>
    <t>MLR % Reduction (from Report 2. MLR Quality Metrics)</t>
  </si>
  <si>
    <t>ab</t>
  </si>
  <si>
    <t>Final Minimum MLR % (z - aa)</t>
  </si>
  <si>
    <t>ac</t>
  </si>
  <si>
    <t>Difference between Adjusted MLR and Final Minimum MLR (max(0, ab - y))</t>
  </si>
  <si>
    <t>ad</t>
  </si>
  <si>
    <t>MLR Reconciliation Payment (max(0, h - ((v + h*x)/ab)))</t>
  </si>
  <si>
    <t>Please describe any "Activities that Improve Healthcare Quality" in the box below, 
including what the activities are and how they improve healthcare quality:</t>
  </si>
  <si>
    <t>Please describe any "Community Benefit Expenditures" in the box below, 
including what the activities are and how they meet the requirements under 45 CFR 158.162(c):</t>
  </si>
  <si>
    <t>JAN'23</t>
  </si>
  <si>
    <t>FEB'23</t>
  </si>
  <si>
    <t>MAR'23</t>
  </si>
  <si>
    <t>APR'23</t>
  </si>
  <si>
    <t>MAY'23</t>
  </si>
  <si>
    <t>JUN'23</t>
  </si>
  <si>
    <t>JUL'22</t>
  </si>
  <si>
    <t>AUG'22</t>
  </si>
  <si>
    <t>SEP'22</t>
  </si>
  <si>
    <t>OCT'22</t>
  </si>
  <si>
    <t>NOV'22</t>
  </si>
  <si>
    <t>DEC'22</t>
  </si>
  <si>
    <t>Yes</t>
  </si>
  <si>
    <t xml:space="preserve">• Line s - Reinsurance Premiums: Reinsurance premiums should be based on date of payment. </t>
  </si>
  <si>
    <t>Rocky Mountain Health Plans</t>
  </si>
  <si>
    <t>Region 01</t>
  </si>
  <si>
    <t>In order for an activity to be considered as an Improving Health Care Quality Activity, per MLR regulations, it must be primarily designed to meet one of the following five goals:
1.  Improve health outcomes
      a.) Making/verifying appoints
      b.) Medication &amp; compliance initiatives
      c.) Arranging and managing transitions from one setting to another
      d.) Programs to support shared decision making with patients, their families reps  
      e.) Reminding member of physicians appointment, lab tests or other appropriate contact
      f.) Coaching or other support to encourage compliance with evidence-based medicine
      g.) Education and participation in self management programs
      h.) Accreditation fees by a nationally recognized accrediting entity directly related to quality of care activities
      i.) Costs associated with identifying and addressing ethnic, cultural or racial disparities in effectiveness of identified best clinical practices and evidence based medicine
2.  Prevent hospital readmissions 
     a.) Comprehensive discharge planning
     b.) Personalized post discharge counseling by an appropriate healthcare professional
     c.) Any quality reporting and related documentation in non-electronic format
3.  Improve patient safety, reduce medical errors, lower infection and mortality rates
     a.) Appropriate identification and use of best clinical practices to avoid harm
     b.) Activities to identify and encourage evidence based medicine in addressing independently identified and documented clinical errors or safety concerns, activities to lower risk of facility aquired infections
     c.) Prospectve prescription drug utilization review aimed at identifying potential adverse drug interactions
4.  Implement, promote and increase wellness health activities
     a.) Wellness Assessment
     b.) Wellness/lifestyle coaching programs designed to achieve specific and measurable improvements, coaching programs designed to educate individuals on clinically effective methods for dealing with specific chronic disease or condition
     c.) Public health education campaigns that are performed in conjunction with state or local health depts.
     d.) Coaching or education programs and health promotion activities designed to change member behavior (e.g. smoking, obesity)
5.  Enhance the use of health care data to improve quality, transparency and outcomes and support meaningful use of health information technology
     a.) Monitoring, measuring, or reporting clinical effectiveness including reporting and analysis costs related to maintaining accreditation by nationally recognized entity (e.g. NCQA or URAC), costs for public reporting of quality of care, including costs specifically required to make accurate determinations of defined measures (e.g. CAHPS surveys or HEDIS measures &amp; costs)
    b.) Advancing the ability of members, providers, and insurers to communicate patient centered clinical or medical information rapidly, accurately and efficiently to determine patient status, avoid harmful drug interations, or direct appropriate care
   c.) Tracking whether a specific class of medical interventions or a bunding of related services leads to better patient outcomes
   d.) Reformatting, transmitting, or reporting data to national government based health orgs for purpose of identitfying or treating specific conditions or controlling spread of disease
   e.) Provision of electronic health records and patient portal</t>
  </si>
  <si>
    <t>See formulas.  
Some are allocated as a % of claims (like IBNR), while others are allocated as a % of revenue (like Taxes, Indirect Claim Costs and Activities that Improve Health Care Quality), while others are allocated as a % of membership (like Medical Incentive Bonus).</t>
  </si>
  <si>
    <t>Other Admin Costs includes both the non-capitalizable costs associated with the claims system migration and the RMHP direct FTE costs for IT for items such as desk tops, laptops, service/cloud space, IT help desk, and software usage fees.</t>
  </si>
  <si>
    <t>for SUD</t>
  </si>
  <si>
    <t>Grand Total</t>
  </si>
  <si>
    <t>IBNR</t>
  </si>
  <si>
    <t>Revised</t>
  </si>
  <si>
    <t>MRT 6A #2</t>
  </si>
  <si>
    <t>MRT 6A #5</t>
  </si>
  <si>
    <t>MRT 6A #6</t>
  </si>
  <si>
    <t>Mind Springs Health SUD Recon</t>
  </si>
  <si>
    <t>SUD Value Based Incentive</t>
  </si>
  <si>
    <t>New Beginning &amp; North Range BH</t>
  </si>
  <si>
    <t>As paid through 11/30/23</t>
  </si>
  <si>
    <t>Adjusted for additional 2 months runout</t>
  </si>
  <si>
    <t>All numbers reported here are from the MRT as submitted previously to HCPF, except IBNR has been increased by $1,375,000 to account for</t>
  </si>
  <si>
    <t>higher than expected claims runout spend in Oct, Nov, Dec 2023, and remaining known claim issues - as detailed in part by RMHP on 12/29/23.</t>
  </si>
  <si>
    <t>Medical incentive bonuses have been reduced from that reported in the MRT.  MRT Tab 6A #7 estimated $702,946.81 was owed to West</t>
  </si>
  <si>
    <t>Springs.  That has since been reduced to $0 due to their missing required quality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</si>
</sst>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 numFmtId="168" formatCode="0.000%"/>
    <numFmt numFmtId="169" formatCode="&quot;$&quot;#,##0"/>
  </numFmts>
  <fonts count="27"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name val="Calibri"/>
      <family val="2"/>
      <scheme val="minor"/>
    </font>
    <font>
      <i/>
      <sz val="9"/>
      <color theme="1"/>
      <name val="Calibri"/>
      <family val="2"/>
      <scheme val="minor"/>
    </font>
    <font>
      <b/>
      <u/>
      <sz val="10"/>
      <color theme="1"/>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u/>
      <sz val="10"/>
      <name val="Calibri"/>
      <family val="2"/>
      <scheme val="minor"/>
    </font>
    <font>
      <u/>
      <sz val="10"/>
      <color rgb="FF000000"/>
      <name val="Calibri"/>
      <family val="2"/>
      <scheme val="minor"/>
    </font>
    <font>
      <u/>
      <sz val="10"/>
      <color theme="1"/>
      <name val="Calibri"/>
      <family val="2"/>
      <scheme val="minor"/>
    </font>
    <font>
      <sz val="9"/>
      <color indexed="81"/>
      <name val="Tahoma"/>
      <family val="2"/>
    </font>
    <font>
      <b/>
      <sz val="11"/>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
      <patternFill patternType="solid">
        <fgColor theme="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5"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10" xfId="0" applyFont="1" applyBorder="1"/>
    <xf numFmtId="165" fontId="5" fillId="2" borderId="1" xfId="1" applyNumberFormat="1" applyFont="1" applyFill="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5" fillId="0" borderId="10" xfId="0" quotePrefix="1" applyFont="1" applyBorder="1" applyAlignment="1">
      <alignment horizontal="left"/>
    </xf>
    <xf numFmtId="0" fontId="5" fillId="0" borderId="1" xfId="0" applyFont="1" applyBorder="1" applyAlignment="1">
      <alignment horizontal="left"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43" fontId="4" fillId="2" borderId="1" xfId="3" applyFont="1" applyFill="1" applyBorder="1"/>
    <xf numFmtId="0" fontId="3" fillId="0" borderId="4" xfId="0" quotePrefix="1" applyFont="1" applyBorder="1" applyAlignment="1">
      <alignment horizontal="left"/>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4" borderId="1" xfId="0" applyFont="1" applyFill="1" applyBorder="1" applyAlignment="1">
      <alignment horizontal="centerContinuous"/>
    </xf>
    <xf numFmtId="0" fontId="3" fillId="6" borderId="1" xfId="0" applyFont="1" applyFill="1" applyBorder="1" applyAlignment="1">
      <alignment horizontal="center"/>
    </xf>
    <xf numFmtId="0" fontId="13" fillId="6" borderId="21" xfId="0" applyFont="1" applyFill="1" applyBorder="1" applyAlignment="1">
      <alignment horizontal="centerContinuous"/>
    </xf>
    <xf numFmtId="0" fontId="4" fillId="6" borderId="22" xfId="0" applyFont="1" applyFill="1" applyBorder="1" applyAlignment="1">
      <alignment horizontal="centerContinuous"/>
    </xf>
    <xf numFmtId="0" fontId="4" fillId="6" borderId="23" xfId="0" applyFont="1" applyFill="1" applyBorder="1" applyAlignment="1">
      <alignment horizontal="centerContinuous"/>
    </xf>
    <xf numFmtId="0" fontId="13" fillId="0" borderId="0" xfId="0" applyFont="1"/>
    <xf numFmtId="0" fontId="3" fillId="0" borderId="0" xfId="0" applyFont="1"/>
    <xf numFmtId="0" fontId="10"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15" fillId="0" borderId="0" xfId="0" applyFont="1"/>
    <xf numFmtId="0" fontId="15" fillId="0" borderId="0" xfId="0" quotePrefix="1" applyFont="1" applyAlignment="1">
      <alignment horizontal="left"/>
    </xf>
    <xf numFmtId="0" fontId="12"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6"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167" fontId="4" fillId="0" borderId="12" xfId="0" applyNumberFormat="1" applyFont="1" applyBorder="1" applyAlignment="1">
      <alignment horizontal="left"/>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Continuous" vertical="center"/>
    </xf>
    <xf numFmtId="166" fontId="16" fillId="0" borderId="1" xfId="3" applyNumberFormat="1" applyFont="1" applyFill="1" applyBorder="1"/>
    <xf numFmtId="0" fontId="11" fillId="4"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6"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1" fillId="5"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4" fillId="0" borderId="1" xfId="0" applyFont="1" applyBorder="1"/>
    <xf numFmtId="0" fontId="17" fillId="0" borderId="0" xfId="0" applyFont="1"/>
    <xf numFmtId="44" fontId="3" fillId="0" borderId="3" xfId="1" applyFont="1" applyFill="1" applyBorder="1"/>
    <xf numFmtId="0" fontId="4" fillId="0" borderId="9" xfId="0" quotePrefix="1" applyFont="1" applyBorder="1" applyAlignment="1">
      <alignment horizontal="left"/>
    </xf>
    <xf numFmtId="0" fontId="4" fillId="0" borderId="1" xfId="0" quotePrefix="1" applyFont="1" applyBorder="1" applyAlignment="1">
      <alignment horizontal="left"/>
    </xf>
    <xf numFmtId="0" fontId="2" fillId="3" borderId="1" xfId="0" quotePrefix="1" applyFont="1" applyFill="1" applyBorder="1" applyAlignment="1">
      <alignment horizontal="centerContinuous"/>
    </xf>
    <xf numFmtId="0" fontId="8" fillId="0" borderId="0" xfId="0" quotePrefix="1" applyFont="1" applyAlignment="1">
      <alignment horizontal="left"/>
    </xf>
    <xf numFmtId="0" fontId="9" fillId="0" borderId="0" xfId="0" applyFont="1"/>
    <xf numFmtId="0" fontId="3" fillId="0" borderId="0" xfId="0" applyFont="1" applyAlignment="1">
      <alignment horizontal="left"/>
    </xf>
    <xf numFmtId="0" fontId="4" fillId="0" borderId="0" xfId="0" applyFont="1" applyAlignment="1">
      <alignment horizontal="left"/>
    </xf>
    <xf numFmtId="0" fontId="18" fillId="3" borderId="1" xfId="0" applyFont="1" applyFill="1" applyBorder="1" applyAlignment="1">
      <alignment horizontal="center" vertical="top" wrapText="1"/>
    </xf>
    <xf numFmtId="166" fontId="4" fillId="0" borderId="0" xfId="3" applyNumberFormat="1" applyFont="1"/>
    <xf numFmtId="0" fontId="4" fillId="0" borderId="1" xfId="0" applyFont="1" applyBorder="1" applyAlignment="1">
      <alignment horizontal="center" vertical="top" wrapText="1"/>
    </xf>
    <xf numFmtId="166" fontId="4" fillId="0" borderId="0" xfId="0" applyNumberFormat="1" applyFont="1"/>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3" fontId="4" fillId="0" borderId="0" xfId="0" applyNumberFormat="1" applyFont="1"/>
    <xf numFmtId="10" fontId="4" fillId="0" borderId="0" xfId="2" applyNumberFormat="1" applyFont="1"/>
    <xf numFmtId="10" fontId="4" fillId="0" borderId="0" xfId="0" applyNumberFormat="1" applyFont="1"/>
    <xf numFmtId="0" fontId="18" fillId="0" borderId="5" xfId="0" applyFont="1" applyBorder="1" applyAlignment="1">
      <alignment horizontal="center"/>
    </xf>
    <xf numFmtId="0" fontId="18" fillId="0" borderId="7" xfId="0" applyFont="1" applyBorder="1" applyAlignment="1">
      <alignment horizontal="center"/>
    </xf>
    <xf numFmtId="0" fontId="3" fillId="0" borderId="0" xfId="0" applyFont="1" applyAlignment="1">
      <alignment horizontal="center"/>
    </xf>
    <xf numFmtId="168" fontId="4" fillId="0" borderId="0" xfId="2" applyNumberFormat="1" applyFont="1"/>
    <xf numFmtId="168" fontId="4" fillId="0" borderId="0" xfId="0" applyNumberFormat="1" applyFont="1"/>
    <xf numFmtId="43" fontId="4" fillId="0" borderId="0" xfId="3" applyFont="1"/>
    <xf numFmtId="0" fontId="4" fillId="0" borderId="0" xfId="0" applyFont="1" applyProtection="1">
      <protection locked="0"/>
    </xf>
    <xf numFmtId="0" fontId="19" fillId="8" borderId="1" xfId="0" applyFont="1" applyFill="1" applyBorder="1" applyAlignment="1">
      <alignment horizontal="centerContinuous"/>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8" xfId="0" applyFont="1" applyBorder="1" applyAlignment="1">
      <alignment horizontal="left"/>
    </xf>
    <xf numFmtId="0" fontId="20" fillId="0" borderId="5" xfId="0" applyFont="1" applyBorder="1"/>
    <xf numFmtId="0" fontId="21" fillId="0" borderId="6" xfId="0" applyFont="1" applyBorder="1"/>
    <xf numFmtId="0" fontId="21" fillId="0" borderId="7" xfId="0" applyFont="1" applyBorder="1"/>
    <xf numFmtId="0" fontId="22" fillId="0" borderId="8" xfId="0" applyFont="1" applyBorder="1"/>
    <xf numFmtId="0" fontId="23" fillId="0" borderId="0" xfId="0" applyFont="1"/>
    <xf numFmtId="0" fontId="21" fillId="0" borderId="0" xfId="0" applyFont="1"/>
    <xf numFmtId="0" fontId="21" fillId="0" borderId="9" xfId="0" applyFont="1" applyBorder="1"/>
    <xf numFmtId="0" fontId="6" fillId="0" borderId="0" xfId="0" applyFont="1"/>
    <xf numFmtId="0" fontId="5" fillId="0" borderId="8" xfId="0" quotePrefix="1" applyFont="1" applyBorder="1"/>
    <xf numFmtId="0" fontId="21" fillId="0" borderId="8" xfId="0" applyFont="1" applyBorder="1"/>
    <xf numFmtId="0" fontId="23" fillId="0" borderId="8" xfId="0" applyFont="1" applyBorder="1"/>
    <xf numFmtId="0" fontId="21" fillId="0" borderId="8" xfId="0" quotePrefix="1" applyFont="1" applyBorder="1" applyAlignment="1">
      <alignment horizontal="left"/>
    </xf>
    <xf numFmtId="0" fontId="20" fillId="0" borderId="8" xfId="0" quotePrefix="1" applyFont="1" applyBorder="1" applyAlignment="1">
      <alignment horizontal="left"/>
    </xf>
    <xf numFmtId="0" fontId="21" fillId="0" borderId="10" xfId="0" applyFont="1" applyBorder="1"/>
    <xf numFmtId="0" fontId="21" fillId="0" borderId="11" xfId="0" applyFont="1" applyBorder="1"/>
    <xf numFmtId="0" fontId="21" fillId="0" borderId="12" xfId="0" applyFont="1" applyBorder="1"/>
    <xf numFmtId="0" fontId="4" fillId="0" borderId="3" xfId="0" quotePrefix="1" applyFont="1" applyBorder="1" applyAlignment="1">
      <alignment horizontal="left"/>
    </xf>
    <xf numFmtId="0" fontId="4" fillId="0" borderId="0" xfId="0"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9" fillId="8" borderId="1" xfId="0" applyFont="1" applyFill="1" applyBorder="1" applyAlignment="1">
      <alignment horizontal="center" wrapText="1"/>
    </xf>
    <xf numFmtId="0" fontId="19" fillId="8" borderId="1" xfId="0" applyFont="1" applyFill="1" applyBorder="1" applyAlignment="1">
      <alignment wrapText="1"/>
    </xf>
    <xf numFmtId="0" fontId="4" fillId="0" borderId="1" xfId="0" applyFont="1" applyBorder="1" applyAlignment="1">
      <alignment horizontal="center" vertical="center"/>
    </xf>
    <xf numFmtId="0" fontId="6" fillId="0" borderId="21" xfId="0" applyFont="1" applyBorder="1" applyAlignment="1">
      <alignment horizontal="left" vertical="center" wrapText="1"/>
    </xf>
    <xf numFmtId="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xf numFmtId="0" fontId="15" fillId="0" borderId="6"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24" fillId="0" borderId="8"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xf numFmtId="0" fontId="3" fillId="8" borderId="1" xfId="0" applyFont="1" applyFill="1" applyBorder="1" applyAlignment="1">
      <alignment horizontal="centerContinuous"/>
    </xf>
    <xf numFmtId="0" fontId="4" fillId="8" borderId="1" xfId="0" applyFont="1" applyFill="1" applyBorder="1" applyAlignment="1">
      <alignment horizontal="centerContinuous"/>
    </xf>
    <xf numFmtId="44" fontId="4" fillId="8" borderId="1" xfId="1" applyFont="1" applyFill="1" applyBorder="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5" fontId="4" fillId="2" borderId="1" xfId="1" applyNumberFormat="1" applyFont="1" applyFill="1" applyBorder="1" applyAlignment="1">
      <alignment horizontal="left"/>
    </xf>
    <xf numFmtId="165" fontId="4" fillId="2" borderId="1" xfId="0" applyNumberFormat="1" applyFont="1" applyFill="1" applyBorder="1" applyAlignment="1">
      <alignment horizontal="left"/>
    </xf>
    <xf numFmtId="0" fontId="4" fillId="0" borderId="3" xfId="0" applyFont="1" applyBorder="1" applyAlignment="1">
      <alignment horizontal="center"/>
    </xf>
    <xf numFmtId="0" fontId="4" fillId="0" borderId="3" xfId="0" applyFont="1" applyBorder="1" applyAlignment="1">
      <alignment horizontal="left"/>
    </xf>
    <xf numFmtId="165" fontId="4" fillId="2" borderId="3" xfId="0" applyNumberFormat="1" applyFont="1" applyFill="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165" fontId="4" fillId="0" borderId="0" xfId="0" applyNumberFormat="1" applyFont="1" applyAlignment="1">
      <alignment horizontal="left"/>
    </xf>
    <xf numFmtId="165" fontId="3" fillId="8" borderId="1" xfId="0" applyNumberFormat="1" applyFont="1" applyFill="1" applyBorder="1" applyAlignment="1">
      <alignment horizontal="centerContinuous"/>
    </xf>
    <xf numFmtId="0" fontId="4" fillId="2" borderId="1" xfId="0" applyFont="1" applyFill="1" applyBorder="1" applyAlignment="1">
      <alignment horizontal="left"/>
    </xf>
    <xf numFmtId="0" fontId="4" fillId="2" borderId="3" xfId="0" applyFont="1" applyFill="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xf>
    <xf numFmtId="0" fontId="3" fillId="0" borderId="1" xfId="0" applyFont="1" applyBorder="1" applyAlignment="1">
      <alignment horizontal="center"/>
    </xf>
    <xf numFmtId="164" fontId="4" fillId="5" borderId="2" xfId="2" applyNumberFormat="1" applyFont="1" applyFill="1" applyBorder="1" applyAlignment="1">
      <alignment vertical="center"/>
    </xf>
    <xf numFmtId="164" fontId="5" fillId="0" borderId="2" xfId="2" applyNumberFormat="1" applyFont="1" applyFill="1" applyBorder="1" applyAlignment="1">
      <alignment vertical="center"/>
    </xf>
    <xf numFmtId="164" fontId="5" fillId="0" borderId="2" xfId="2" applyNumberFormat="1" applyFont="1" applyBorder="1" applyAlignment="1">
      <alignment vertical="center"/>
    </xf>
    <xf numFmtId="164" fontId="5" fillId="0" borderId="2" xfId="0" applyNumberFormat="1" applyFont="1" applyBorder="1" applyAlignment="1">
      <alignment vertical="center"/>
    </xf>
    <xf numFmtId="0" fontId="4" fillId="0" borderId="24"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165" fontId="3" fillId="5" borderId="4" xfId="1" applyNumberFormat="1" applyFont="1" applyFill="1" applyBorder="1" applyAlignment="1">
      <alignment vertical="center"/>
    </xf>
    <xf numFmtId="164" fontId="4" fillId="7" borderId="2" xfId="2" applyNumberFormat="1" applyFont="1" applyFill="1" applyBorder="1" applyAlignment="1">
      <alignment vertical="center"/>
    </xf>
    <xf numFmtId="0" fontId="2" fillId="3" borderId="21" xfId="0" applyFont="1" applyFill="1" applyBorder="1" applyAlignment="1">
      <alignment horizontal="centerContinuous" wrapText="1"/>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4" fontId="3" fillId="0" borderId="12" xfId="0" applyNumberFormat="1" applyFont="1" applyBorder="1" applyAlignment="1">
      <alignment horizontal="center"/>
    </xf>
    <xf numFmtId="44" fontId="4" fillId="9" borderId="1" xfId="1" applyFont="1" applyFill="1" applyBorder="1"/>
    <xf numFmtId="44" fontId="16" fillId="9" borderId="1" xfId="1" applyFont="1" applyFill="1" applyBorder="1"/>
    <xf numFmtId="0" fontId="3" fillId="5" borderId="1" xfId="0" applyFont="1" applyFill="1" applyBorder="1" applyAlignment="1">
      <alignment horizontal="center" vertical="center" wrapText="1"/>
    </xf>
    <xf numFmtId="164" fontId="4" fillId="5" borderId="1" xfId="2" applyNumberFormat="1" applyFont="1" applyFill="1" applyBorder="1" applyAlignment="1">
      <alignment vertical="center"/>
    </xf>
    <xf numFmtId="164" fontId="5" fillId="5" borderId="2" xfId="2" applyNumberFormat="1" applyFont="1" applyFill="1" applyBorder="1" applyAlignment="1">
      <alignment vertical="center"/>
    </xf>
    <xf numFmtId="164" fontId="5" fillId="5" borderId="2" xfId="0" applyNumberFormat="1" applyFont="1" applyFill="1" applyBorder="1" applyAlignment="1">
      <alignment vertical="center"/>
    </xf>
    <xf numFmtId="164" fontId="4" fillId="5" borderId="3" xfId="2" applyNumberFormat="1" applyFont="1" applyFill="1" applyBorder="1" applyAlignment="1">
      <alignment vertical="center"/>
    </xf>
    <xf numFmtId="166" fontId="3" fillId="0" borderId="10" xfId="3" applyNumberFormat="1" applyFont="1" applyBorder="1" applyAlignment="1">
      <alignment vertical="center"/>
    </xf>
    <xf numFmtId="165" fontId="3" fillId="7" borderId="4" xfId="1" applyNumberFormat="1" applyFont="1" applyFill="1" applyBorder="1" applyAlignment="1">
      <alignment horizontal="left" vertical="center"/>
    </xf>
    <xf numFmtId="166" fontId="4" fillId="2" borderId="1" xfId="3" applyNumberFormat="1" applyFont="1" applyFill="1" applyBorder="1"/>
    <xf numFmtId="165" fontId="4" fillId="2" borderId="1" xfId="0" applyNumberFormat="1" applyFont="1" applyFill="1" applyBorder="1"/>
    <xf numFmtId="165" fontId="4" fillId="5" borderId="1" xfId="0" applyNumberFormat="1" applyFont="1" applyFill="1" applyBorder="1"/>
    <xf numFmtId="165" fontId="4" fillId="5" borderId="3" xfId="3" applyNumberFormat="1" applyFont="1" applyFill="1" applyBorder="1"/>
    <xf numFmtId="165" fontId="3" fillId="5" borderId="4" xfId="0" applyNumberFormat="1" applyFont="1" applyFill="1" applyBorder="1"/>
    <xf numFmtId="0" fontId="4" fillId="2" borderId="13" xfId="0" applyFont="1" applyFill="1" applyBorder="1" applyProtection="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4" fillId="2" borderId="16" xfId="0" applyFont="1" applyFill="1" applyBorder="1" applyProtection="1">
      <protection locked="0"/>
    </xf>
    <xf numFmtId="0" fontId="4" fillId="2" borderId="0" xfId="0" applyFont="1" applyFill="1" applyProtection="1">
      <protection locked="0"/>
    </xf>
    <xf numFmtId="0" fontId="4" fillId="2" borderId="17" xfId="0" applyFont="1" applyFill="1" applyBorder="1" applyProtection="1">
      <protection locked="0"/>
    </xf>
    <xf numFmtId="0" fontId="4" fillId="2" borderId="18" xfId="0" applyFont="1" applyFill="1" applyBorder="1" applyProtection="1">
      <protection locked="0"/>
    </xf>
    <xf numFmtId="0" fontId="4" fillId="2" borderId="19" xfId="0" applyFont="1" applyFill="1" applyBorder="1" applyProtection="1">
      <protection locked="0"/>
    </xf>
    <xf numFmtId="0" fontId="4" fillId="2" borderId="20" xfId="0" applyFont="1" applyFill="1" applyBorder="1" applyProtection="1">
      <protection locked="0"/>
    </xf>
    <xf numFmtId="43" fontId="4" fillId="10" borderId="1" xfId="3" applyFont="1" applyFill="1" applyBorder="1"/>
    <xf numFmtId="44" fontId="4" fillId="10" borderId="1" xfId="1" applyFont="1" applyFill="1" applyBorder="1"/>
    <xf numFmtId="43" fontId="4" fillId="0" borderId="0" xfId="0" applyNumberFormat="1" applyFont="1"/>
    <xf numFmtId="0" fontId="3" fillId="0" borderId="26" xfId="0" quotePrefix="1" applyFont="1" applyBorder="1" applyAlignment="1">
      <alignment horizontal="left"/>
    </xf>
    <xf numFmtId="43" fontId="3" fillId="0" borderId="26" xfId="3" applyFont="1" applyFill="1" applyBorder="1"/>
    <xf numFmtId="44" fontId="3" fillId="0" borderId="26" xfId="1" applyFont="1" applyFill="1" applyBorder="1"/>
    <xf numFmtId="165" fontId="4" fillId="0" borderId="1" xfId="0" applyNumberFormat="1" applyFont="1" applyBorder="1"/>
    <xf numFmtId="165" fontId="4" fillId="0" borderId="3" xfId="3" applyNumberFormat="1" applyFont="1" applyFill="1" applyBorder="1"/>
    <xf numFmtId="165" fontId="3" fillId="0" borderId="4" xfId="0" applyNumberFormat="1" applyFont="1" applyBorder="1"/>
    <xf numFmtId="165" fontId="5" fillId="0" borderId="1" xfId="1" applyNumberFormat="1" applyFont="1" applyFill="1" applyBorder="1" applyAlignment="1">
      <alignment vertical="center"/>
    </xf>
    <xf numFmtId="0" fontId="26" fillId="0" borderId="0" xfId="0" applyFont="1"/>
    <xf numFmtId="169" fontId="4" fillId="0" borderId="0" xfId="0" applyNumberFormat="1" applyFont="1"/>
    <xf numFmtId="165" fontId="10" fillId="0" borderId="1" xfId="1" applyNumberFormat="1" applyFont="1" applyBorder="1"/>
    <xf numFmtId="44" fontId="26" fillId="9" borderId="1" xfId="1" applyFont="1" applyFill="1" applyBorder="1"/>
    <xf numFmtId="0" fontId="10" fillId="0" borderId="0" xfId="0" applyFont="1"/>
    <xf numFmtId="169" fontId="10" fillId="0" borderId="0" xfId="0" applyNumberFormat="1" applyFont="1"/>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13"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J86"/>
  <sheetViews>
    <sheetView showGridLines="0" tabSelected="1" zoomScaleNormal="100" workbookViewId="0">
      <selection activeCell="C11" sqref="C11"/>
    </sheetView>
  </sheetViews>
  <sheetFormatPr defaultColWidth="8.7109375" defaultRowHeight="15" customHeight="1" x14ac:dyDescent="0.25"/>
  <cols>
    <col min="1" max="1" width="2.140625" customWidth="1"/>
    <col min="2" max="2" width="36.28515625" customWidth="1"/>
    <col min="3" max="3" width="25.7109375" customWidth="1"/>
    <col min="4" max="4" width="15.28515625" customWidth="1"/>
    <col min="5" max="5" width="40.7109375" customWidth="1"/>
    <col min="6" max="6" width="10.140625" customWidth="1"/>
    <col min="7" max="7" width="11" customWidth="1"/>
    <col min="8" max="8" width="14" customWidth="1"/>
    <col min="9" max="9" width="15.85546875" customWidth="1"/>
  </cols>
  <sheetData>
    <row r="2" spans="2:9" ht="18.75" x14ac:dyDescent="0.3">
      <c r="B2" s="97" t="s">
        <v>67</v>
      </c>
      <c r="C2" s="12"/>
      <c r="D2" s="12"/>
      <c r="E2" s="12"/>
      <c r="F2" s="12"/>
      <c r="G2" s="12"/>
    </row>
    <row r="3" spans="2:9" ht="15" customHeight="1" x14ac:dyDescent="0.25">
      <c r="B3" s="98"/>
      <c r="C3" s="12"/>
      <c r="D3" s="12"/>
      <c r="E3" s="12"/>
      <c r="F3" s="12"/>
      <c r="G3" s="12"/>
    </row>
    <row r="4" spans="2:9" ht="15" customHeight="1" thickBot="1" x14ac:dyDescent="0.3">
      <c r="B4" s="10" t="s">
        <v>22</v>
      </c>
      <c r="C4" s="12"/>
      <c r="D4" s="12"/>
      <c r="E4" s="12"/>
      <c r="F4" s="12"/>
      <c r="G4" s="12"/>
    </row>
    <row r="5" spans="2:9" ht="15" customHeight="1" x14ac:dyDescent="0.25">
      <c r="B5" s="13" t="s">
        <v>72</v>
      </c>
      <c r="C5" s="14"/>
      <c r="D5" s="14"/>
      <c r="E5" s="15"/>
      <c r="F5" s="12"/>
      <c r="G5" s="12"/>
    </row>
    <row r="6" spans="2:9" ht="15" customHeight="1" x14ac:dyDescent="0.25">
      <c r="B6" s="16" t="s">
        <v>66</v>
      </c>
      <c r="C6" s="12"/>
      <c r="D6" s="12"/>
      <c r="E6" s="17"/>
      <c r="F6" s="12"/>
      <c r="G6" s="12"/>
    </row>
    <row r="7" spans="2:9" ht="15" customHeight="1" x14ac:dyDescent="0.25">
      <c r="B7" s="16" t="s">
        <v>23</v>
      </c>
      <c r="C7" s="12"/>
      <c r="D7" s="12"/>
      <c r="E7" s="17"/>
      <c r="F7" s="12"/>
      <c r="G7" s="12"/>
    </row>
    <row r="8" spans="2:9" ht="15" customHeight="1" thickBot="1" x14ac:dyDescent="0.3">
      <c r="B8" s="28" t="s">
        <v>46</v>
      </c>
      <c r="C8" s="18"/>
      <c r="D8" s="18"/>
      <c r="E8" s="19"/>
      <c r="F8" s="12"/>
      <c r="G8" s="12"/>
    </row>
    <row r="9" spans="2:9" ht="15" customHeight="1" x14ac:dyDescent="0.25">
      <c r="B9" s="12"/>
      <c r="C9" s="12"/>
      <c r="D9" s="12"/>
      <c r="E9" s="12"/>
      <c r="F9" s="12"/>
      <c r="G9" s="12"/>
    </row>
    <row r="10" spans="2:9" ht="15" customHeight="1" thickBot="1" x14ac:dyDescent="0.3">
      <c r="B10" s="10" t="s">
        <v>24</v>
      </c>
      <c r="C10" s="12"/>
      <c r="D10" s="12"/>
      <c r="E10" s="12"/>
      <c r="F10" s="12"/>
      <c r="G10" s="12"/>
    </row>
    <row r="11" spans="2:9" ht="15" customHeight="1" x14ac:dyDescent="0.25">
      <c r="B11" s="32" t="s">
        <v>47</v>
      </c>
      <c r="C11" s="68" t="s">
        <v>277</v>
      </c>
      <c r="E11" s="12"/>
      <c r="F11" s="12"/>
      <c r="G11" s="12"/>
    </row>
    <row r="12" spans="2:9" ht="15" customHeight="1" x14ac:dyDescent="0.25">
      <c r="B12" s="20" t="s">
        <v>71</v>
      </c>
      <c r="C12" s="69" t="s">
        <v>278</v>
      </c>
      <c r="E12" s="12"/>
      <c r="F12" s="12"/>
      <c r="G12" s="12"/>
    </row>
    <row r="13" spans="2:9" ht="15" customHeight="1" x14ac:dyDescent="0.25">
      <c r="B13" s="67" t="s">
        <v>100</v>
      </c>
      <c r="C13" s="94" t="s">
        <v>91</v>
      </c>
      <c r="E13" s="12"/>
      <c r="F13" s="12"/>
      <c r="G13" s="12"/>
    </row>
    <row r="14" spans="2:9" ht="15" customHeight="1" thickBot="1" x14ac:dyDescent="0.3">
      <c r="B14" s="21" t="s">
        <v>25</v>
      </c>
      <c r="C14" s="70">
        <v>45199</v>
      </c>
      <c r="E14" s="12"/>
      <c r="F14" s="12"/>
      <c r="G14" s="12"/>
    </row>
    <row r="15" spans="2:9" ht="15" customHeight="1" x14ac:dyDescent="0.25">
      <c r="B15" s="12"/>
      <c r="C15" s="12"/>
      <c r="D15" s="12"/>
      <c r="E15" s="12"/>
      <c r="F15" s="12"/>
      <c r="G15" s="12"/>
    </row>
    <row r="16" spans="2:9" s="5" customFormat="1" ht="15" customHeight="1" thickBot="1" x14ac:dyDescent="0.25">
      <c r="B16" s="10" t="s">
        <v>113</v>
      </c>
      <c r="C16" s="12"/>
      <c r="D16" s="12"/>
      <c r="E16" s="12"/>
      <c r="F16" s="12"/>
      <c r="G16" s="12"/>
      <c r="H16" s="12"/>
      <c r="I16" s="12"/>
    </row>
    <row r="17" spans="2:10" s="5" customFormat="1" ht="15" customHeight="1" x14ac:dyDescent="0.2">
      <c r="B17" s="118" t="s">
        <v>114</v>
      </c>
      <c r="C17" s="119" t="s">
        <v>115</v>
      </c>
      <c r="D17" s="15"/>
      <c r="E17" s="12"/>
      <c r="F17" s="12"/>
      <c r="G17" s="12"/>
      <c r="H17" s="12"/>
      <c r="I17" s="12"/>
    </row>
    <row r="18" spans="2:10" s="5" customFormat="1" ht="15" customHeight="1" x14ac:dyDescent="0.2">
      <c r="B18" s="120" t="s">
        <v>116</v>
      </c>
      <c r="C18" s="22" t="s">
        <v>117</v>
      </c>
      <c r="D18" s="17"/>
      <c r="E18" s="12"/>
      <c r="F18" s="12"/>
      <c r="G18" s="12"/>
      <c r="H18" s="12"/>
      <c r="I18" s="12"/>
    </row>
    <row r="19" spans="2:10" s="5" customFormat="1" ht="15" customHeight="1" x14ac:dyDescent="0.2">
      <c r="B19" s="120" t="s">
        <v>118</v>
      </c>
      <c r="C19" s="22" t="s">
        <v>93</v>
      </c>
      <c r="D19" s="17"/>
      <c r="E19" s="12"/>
      <c r="F19" s="12"/>
      <c r="G19" s="12"/>
      <c r="H19" s="12"/>
      <c r="I19" s="12"/>
    </row>
    <row r="20" spans="2:10" s="5" customFormat="1" ht="15" customHeight="1" x14ac:dyDescent="0.2">
      <c r="B20" s="120" t="s">
        <v>123</v>
      </c>
      <c r="C20" s="22" t="s">
        <v>97</v>
      </c>
      <c r="D20" s="17"/>
      <c r="E20" s="12"/>
      <c r="F20" s="12"/>
      <c r="G20" s="12"/>
      <c r="H20" s="12"/>
      <c r="I20" s="12"/>
    </row>
    <row r="21" spans="2:10" s="5" customFormat="1" ht="15" customHeight="1" x14ac:dyDescent="0.2">
      <c r="B21" s="120" t="s">
        <v>124</v>
      </c>
      <c r="C21" s="22" t="s">
        <v>125</v>
      </c>
      <c r="D21" s="17"/>
      <c r="E21" s="12"/>
      <c r="F21" s="12"/>
      <c r="G21" s="12"/>
      <c r="H21" s="12"/>
      <c r="I21" s="12"/>
    </row>
    <row r="22" spans="2:10" s="5" customFormat="1" ht="15" customHeight="1" x14ac:dyDescent="0.2">
      <c r="B22" s="16" t="s">
        <v>122</v>
      </c>
      <c r="C22" s="12" t="s">
        <v>65</v>
      </c>
      <c r="D22" s="17"/>
      <c r="E22" s="12"/>
      <c r="F22" s="12"/>
      <c r="G22" s="12"/>
      <c r="H22" s="12"/>
      <c r="I22" s="12"/>
    </row>
    <row r="23" spans="2:10" s="5" customFormat="1" ht="15" customHeight="1" x14ac:dyDescent="0.2">
      <c r="B23" s="23" t="s">
        <v>119</v>
      </c>
      <c r="C23" s="12" t="s">
        <v>120</v>
      </c>
      <c r="D23" s="17"/>
      <c r="E23" s="12"/>
      <c r="F23" s="12"/>
      <c r="G23" s="12"/>
      <c r="H23" s="12"/>
      <c r="I23" s="12"/>
    </row>
    <row r="24" spans="2:10" s="5" customFormat="1" ht="15" customHeight="1" thickBot="1" x14ac:dyDescent="0.25">
      <c r="B24" s="24" t="s">
        <v>68</v>
      </c>
      <c r="C24" s="18" t="s">
        <v>121</v>
      </c>
      <c r="D24" s="19"/>
      <c r="E24" s="12"/>
      <c r="F24" s="12"/>
      <c r="G24" s="12"/>
      <c r="H24" s="12"/>
      <c r="I24" s="12"/>
    </row>
    <row r="25" spans="2:10" s="5" customFormat="1" ht="15" customHeight="1" x14ac:dyDescent="0.2">
      <c r="B25" s="12"/>
      <c r="C25" s="12"/>
      <c r="D25" s="12"/>
      <c r="E25" s="12"/>
      <c r="F25" s="12"/>
      <c r="G25" s="12"/>
      <c r="H25" s="12"/>
      <c r="I25" s="12"/>
    </row>
    <row r="26" spans="2:10" s="5" customFormat="1" ht="15" customHeight="1" thickBot="1" x14ac:dyDescent="0.25">
      <c r="B26" s="10" t="s">
        <v>26</v>
      </c>
      <c r="C26" s="12"/>
      <c r="D26" s="12"/>
      <c r="E26" s="12"/>
      <c r="F26" s="12"/>
      <c r="G26" s="12"/>
      <c r="H26" s="12"/>
      <c r="I26" s="12"/>
    </row>
    <row r="27" spans="2:10" s="5" customFormat="1" ht="15" customHeight="1" x14ac:dyDescent="0.2">
      <c r="B27" s="121" t="s">
        <v>126</v>
      </c>
      <c r="C27" s="122"/>
      <c r="D27" s="122"/>
      <c r="E27" s="122"/>
      <c r="F27" s="122"/>
      <c r="G27" s="122"/>
      <c r="H27" s="122"/>
      <c r="I27" s="123"/>
    </row>
    <row r="28" spans="2:10" s="5" customFormat="1" ht="15" customHeight="1" x14ac:dyDescent="0.2">
      <c r="B28" s="124" t="s">
        <v>127</v>
      </c>
      <c r="C28" s="125"/>
      <c r="D28" s="125"/>
      <c r="E28" s="125"/>
      <c r="F28" s="125"/>
      <c r="G28" s="125"/>
      <c r="H28" s="126"/>
      <c r="I28" s="127"/>
    </row>
    <row r="29" spans="2:10" s="5" customFormat="1" ht="15" customHeight="1" x14ac:dyDescent="0.2">
      <c r="B29" s="16" t="s">
        <v>128</v>
      </c>
      <c r="C29" s="126"/>
      <c r="D29" s="126"/>
      <c r="E29" s="126"/>
      <c r="F29" s="126"/>
      <c r="G29" s="126"/>
      <c r="H29" s="126"/>
      <c r="I29" s="127"/>
    </row>
    <row r="30" spans="2:10" s="5" customFormat="1" ht="15" customHeight="1" x14ac:dyDescent="0.2">
      <c r="B30" s="16" t="s">
        <v>129</v>
      </c>
      <c r="C30" s="126"/>
      <c r="D30" s="126"/>
      <c r="E30" s="126"/>
      <c r="F30" s="126"/>
      <c r="G30" s="126"/>
      <c r="H30" s="126"/>
      <c r="I30" s="127"/>
    </row>
    <row r="31" spans="2:10" s="5" customFormat="1" ht="15" customHeight="1" x14ac:dyDescent="0.2">
      <c r="B31" s="16" t="s">
        <v>156</v>
      </c>
      <c r="C31" s="126"/>
      <c r="D31" s="126"/>
      <c r="E31" s="126"/>
      <c r="F31" s="126"/>
      <c r="G31" s="126"/>
      <c r="H31" s="126"/>
      <c r="I31" s="127"/>
    </row>
    <row r="32" spans="2:10" s="5" customFormat="1" ht="15" customHeight="1" x14ac:dyDescent="0.2">
      <c r="B32" s="23" t="s">
        <v>130</v>
      </c>
      <c r="C32" s="126"/>
      <c r="D32" s="126"/>
      <c r="E32" s="126"/>
      <c r="F32" s="126"/>
      <c r="G32" s="126"/>
      <c r="H32" s="126"/>
      <c r="I32" s="127"/>
      <c r="J32" s="128"/>
    </row>
    <row r="33" spans="2:10" s="5" customFormat="1" ht="15" customHeight="1" x14ac:dyDescent="0.2">
      <c r="B33" s="16" t="s">
        <v>157</v>
      </c>
      <c r="C33" s="126"/>
      <c r="D33" s="126"/>
      <c r="E33" s="126"/>
      <c r="F33" s="126"/>
      <c r="G33" s="126"/>
      <c r="H33" s="126"/>
      <c r="I33" s="127"/>
    </row>
    <row r="34" spans="2:10" s="5" customFormat="1" ht="15" customHeight="1" x14ac:dyDescent="0.2">
      <c r="B34" s="23" t="s">
        <v>131</v>
      </c>
      <c r="C34" s="126"/>
      <c r="D34" s="126"/>
      <c r="E34" s="126"/>
      <c r="F34" s="126"/>
      <c r="G34" s="126"/>
      <c r="H34" s="126"/>
      <c r="I34" s="127"/>
      <c r="J34" s="128"/>
    </row>
    <row r="35" spans="2:10" s="5" customFormat="1" ht="15" customHeight="1" x14ac:dyDescent="0.2">
      <c r="B35" s="129" t="s">
        <v>132</v>
      </c>
      <c r="C35" s="126"/>
      <c r="D35" s="126"/>
      <c r="E35" s="126"/>
      <c r="F35" s="126"/>
      <c r="G35" s="126"/>
      <c r="H35" s="126"/>
      <c r="I35" s="127"/>
      <c r="J35" s="128"/>
    </row>
    <row r="36" spans="2:10" s="5" customFormat="1" ht="15" customHeight="1" x14ac:dyDescent="0.2">
      <c r="B36" s="23" t="s">
        <v>133</v>
      </c>
      <c r="C36" s="126"/>
      <c r="D36" s="126"/>
      <c r="E36" s="126"/>
      <c r="F36" s="126"/>
      <c r="G36" s="126"/>
      <c r="H36" s="126"/>
      <c r="I36" s="127"/>
    </row>
    <row r="37" spans="2:10" s="5" customFormat="1" ht="15" customHeight="1" x14ac:dyDescent="0.2">
      <c r="B37" s="16" t="s">
        <v>158</v>
      </c>
      <c r="C37" s="126"/>
      <c r="D37" s="126"/>
      <c r="E37" s="126"/>
      <c r="F37" s="126"/>
      <c r="G37" s="126"/>
      <c r="H37" s="126"/>
      <c r="I37" s="127"/>
    </row>
    <row r="38" spans="2:10" s="5" customFormat="1" ht="15" customHeight="1" x14ac:dyDescent="0.2">
      <c r="B38" s="23" t="s">
        <v>134</v>
      </c>
      <c r="C38" s="126"/>
      <c r="D38" s="126"/>
      <c r="E38" s="126"/>
      <c r="F38" s="126"/>
      <c r="G38" s="126"/>
      <c r="H38" s="126"/>
      <c r="I38" s="127"/>
    </row>
    <row r="39" spans="2:10" s="5" customFormat="1" ht="15" customHeight="1" x14ac:dyDescent="0.2">
      <c r="B39" s="130"/>
      <c r="C39" s="126"/>
      <c r="D39" s="126"/>
      <c r="E39" s="126"/>
      <c r="F39" s="126"/>
      <c r="G39" s="126"/>
      <c r="H39" s="126"/>
      <c r="I39" s="127"/>
    </row>
    <row r="40" spans="2:10" s="5" customFormat="1" ht="15" customHeight="1" x14ac:dyDescent="0.2">
      <c r="B40" s="131" t="s">
        <v>135</v>
      </c>
      <c r="C40" s="125"/>
      <c r="D40" s="125"/>
      <c r="E40" s="125"/>
      <c r="F40" s="125"/>
      <c r="G40" s="125"/>
      <c r="H40" s="125"/>
      <c r="I40" s="127"/>
    </row>
    <row r="41" spans="2:10" s="5" customFormat="1" ht="15" customHeight="1" x14ac:dyDescent="0.2">
      <c r="B41" s="16" t="s">
        <v>136</v>
      </c>
      <c r="C41" s="126"/>
      <c r="D41" s="126"/>
      <c r="E41" s="126"/>
      <c r="F41" s="126"/>
      <c r="G41" s="126"/>
      <c r="H41" s="126"/>
      <c r="I41" s="127"/>
      <c r="J41" s="128"/>
    </row>
    <row r="42" spans="2:10" s="5" customFormat="1" ht="15" customHeight="1" x14ac:dyDescent="0.2">
      <c r="B42" s="16" t="s">
        <v>159</v>
      </c>
      <c r="C42" s="126"/>
      <c r="D42" s="126"/>
      <c r="E42" s="126"/>
      <c r="F42" s="126"/>
      <c r="G42" s="126"/>
      <c r="H42" s="126"/>
      <c r="I42" s="127"/>
    </row>
    <row r="43" spans="2:10" s="5" customFormat="1" ht="15" customHeight="1" x14ac:dyDescent="0.2">
      <c r="B43" s="16" t="s">
        <v>160</v>
      </c>
      <c r="C43" s="126"/>
      <c r="D43" s="126"/>
      <c r="E43" s="126"/>
      <c r="F43" s="126"/>
      <c r="G43" s="126"/>
      <c r="H43" s="126"/>
      <c r="I43" s="127"/>
    </row>
    <row r="44" spans="2:10" s="5" customFormat="1" ht="15" customHeight="1" x14ac:dyDescent="0.2">
      <c r="B44" s="16" t="s">
        <v>137</v>
      </c>
      <c r="C44" s="126"/>
      <c r="D44" s="126"/>
      <c r="E44" s="126"/>
      <c r="F44" s="126"/>
      <c r="G44" s="126"/>
      <c r="H44" s="126"/>
      <c r="I44" s="127"/>
    </row>
    <row r="45" spans="2:10" s="5" customFormat="1" ht="15" customHeight="1" x14ac:dyDescent="0.2">
      <c r="B45" s="16" t="s">
        <v>138</v>
      </c>
      <c r="C45" s="126"/>
      <c r="D45" s="126"/>
      <c r="E45" s="126"/>
      <c r="F45" s="126"/>
      <c r="G45" s="126"/>
      <c r="H45" s="126"/>
      <c r="I45" s="127"/>
    </row>
    <row r="46" spans="2:10" s="5" customFormat="1" ht="15" customHeight="1" x14ac:dyDescent="0.2">
      <c r="B46" s="16" t="s">
        <v>139</v>
      </c>
      <c r="C46" s="126"/>
      <c r="D46" s="126"/>
      <c r="E46" s="126"/>
      <c r="F46" s="126"/>
      <c r="G46" s="126"/>
      <c r="H46" s="126"/>
      <c r="I46" s="127"/>
    </row>
    <row r="47" spans="2:10" s="5" customFormat="1" ht="15" customHeight="1" x14ac:dyDescent="0.2">
      <c r="B47" s="16" t="s">
        <v>165</v>
      </c>
      <c r="C47" s="126"/>
      <c r="D47" s="126"/>
      <c r="E47" s="126"/>
      <c r="F47" s="126"/>
      <c r="G47" s="126"/>
      <c r="H47" s="126"/>
      <c r="I47" s="127"/>
    </row>
    <row r="48" spans="2:10" s="5" customFormat="1" ht="15" customHeight="1" x14ac:dyDescent="0.2">
      <c r="B48" s="16" t="s">
        <v>161</v>
      </c>
      <c r="C48" s="126"/>
      <c r="D48" s="126"/>
      <c r="E48" s="126"/>
      <c r="F48" s="126"/>
      <c r="G48" s="126"/>
      <c r="H48" s="126"/>
      <c r="I48" s="127"/>
    </row>
    <row r="49" spans="2:9" s="5" customFormat="1" ht="15" customHeight="1" x14ac:dyDescent="0.2">
      <c r="B49" s="16" t="s">
        <v>140</v>
      </c>
      <c r="C49" s="126"/>
      <c r="D49" s="126"/>
      <c r="E49" s="126"/>
      <c r="F49" s="126"/>
      <c r="G49" s="126"/>
      <c r="H49" s="126"/>
      <c r="I49" s="127"/>
    </row>
    <row r="50" spans="2:9" s="5" customFormat="1" ht="15" customHeight="1" x14ac:dyDescent="0.2">
      <c r="B50" s="16" t="s">
        <v>141</v>
      </c>
      <c r="C50" s="126"/>
      <c r="D50" s="126"/>
      <c r="E50" s="126"/>
      <c r="F50" s="126"/>
      <c r="G50" s="126"/>
      <c r="H50" s="126"/>
      <c r="I50" s="127"/>
    </row>
    <row r="51" spans="2:9" s="5" customFormat="1" ht="15" customHeight="1" x14ac:dyDescent="0.2">
      <c r="B51" s="16" t="s">
        <v>142</v>
      </c>
      <c r="C51" s="126"/>
      <c r="D51" s="126"/>
      <c r="E51" s="126"/>
      <c r="F51" s="126"/>
      <c r="G51" s="126"/>
      <c r="H51" s="126"/>
      <c r="I51" s="127"/>
    </row>
    <row r="52" spans="2:9" s="5" customFormat="1" ht="15" customHeight="1" x14ac:dyDescent="0.2">
      <c r="B52" s="16" t="s">
        <v>143</v>
      </c>
      <c r="C52" s="126"/>
      <c r="D52" s="126"/>
      <c r="E52" s="126"/>
      <c r="F52" s="126"/>
      <c r="G52" s="126"/>
      <c r="H52" s="126"/>
      <c r="I52" s="127"/>
    </row>
    <row r="53" spans="2:9" s="5" customFormat="1" ht="15" customHeight="1" x14ac:dyDescent="0.2">
      <c r="B53" s="16" t="s">
        <v>166</v>
      </c>
      <c r="C53" s="126"/>
      <c r="D53" s="126"/>
      <c r="E53" s="126"/>
      <c r="F53" s="126"/>
      <c r="G53" s="126"/>
      <c r="H53" s="126"/>
      <c r="I53" s="127"/>
    </row>
    <row r="54" spans="2:9" s="5" customFormat="1" ht="15" customHeight="1" x14ac:dyDescent="0.2">
      <c r="B54" s="16" t="s">
        <v>144</v>
      </c>
      <c r="C54" s="126"/>
      <c r="D54" s="126"/>
      <c r="E54" s="126"/>
      <c r="F54" s="126"/>
      <c r="G54" s="126"/>
      <c r="H54" s="126"/>
      <c r="I54" s="127"/>
    </row>
    <row r="55" spans="2:9" s="5" customFormat="1" ht="15" customHeight="1" x14ac:dyDescent="0.2">
      <c r="B55" s="16" t="s">
        <v>276</v>
      </c>
      <c r="C55" s="126"/>
      <c r="D55" s="126"/>
      <c r="E55" s="126"/>
      <c r="F55" s="126"/>
      <c r="G55" s="126"/>
      <c r="H55" s="126"/>
      <c r="I55" s="127"/>
    </row>
    <row r="56" spans="2:9" s="5" customFormat="1" ht="15" customHeight="1" x14ac:dyDescent="0.2">
      <c r="B56" s="16" t="s">
        <v>145</v>
      </c>
      <c r="C56" s="126"/>
      <c r="D56" s="126"/>
      <c r="E56" s="126"/>
      <c r="F56" s="126"/>
      <c r="G56" s="126"/>
      <c r="H56" s="126"/>
      <c r="I56" s="127"/>
    </row>
    <row r="57" spans="2:9" s="5" customFormat="1" ht="15" customHeight="1" x14ac:dyDescent="0.2">
      <c r="B57" s="16" t="s">
        <v>146</v>
      </c>
      <c r="C57" s="126"/>
      <c r="D57" s="126"/>
      <c r="E57" s="126"/>
      <c r="F57" s="126"/>
      <c r="G57" s="126"/>
      <c r="H57" s="126"/>
      <c r="I57" s="127"/>
    </row>
    <row r="58" spans="2:9" s="5" customFormat="1" ht="15" customHeight="1" x14ac:dyDescent="0.2">
      <c r="B58" s="16" t="s">
        <v>147</v>
      </c>
      <c r="C58" s="126"/>
      <c r="D58" s="126"/>
      <c r="E58" s="126"/>
      <c r="F58" s="126"/>
      <c r="G58" s="126"/>
      <c r="H58" s="126"/>
      <c r="I58" s="127"/>
    </row>
    <row r="59" spans="2:9" s="5" customFormat="1" ht="15" customHeight="1" x14ac:dyDescent="0.2">
      <c r="B59" s="16"/>
      <c r="C59" s="126"/>
      <c r="D59" s="126"/>
      <c r="E59" s="126"/>
      <c r="F59" s="126"/>
      <c r="G59" s="126"/>
      <c r="H59" s="126"/>
      <c r="I59" s="127"/>
    </row>
    <row r="60" spans="2:9" s="5" customFormat="1" ht="15" customHeight="1" x14ac:dyDescent="0.2">
      <c r="B60" s="16" t="s">
        <v>148</v>
      </c>
      <c r="C60" s="126"/>
      <c r="D60" s="126"/>
      <c r="E60" s="126"/>
      <c r="F60" s="126"/>
      <c r="G60" s="126"/>
      <c r="H60" s="126"/>
      <c r="I60" s="127"/>
    </row>
    <row r="61" spans="2:9" s="5" customFormat="1" ht="15" customHeight="1" x14ac:dyDescent="0.2">
      <c r="B61" s="132" t="s">
        <v>149</v>
      </c>
      <c r="C61" s="126"/>
      <c r="D61" s="126"/>
      <c r="E61" s="126"/>
      <c r="F61" s="126"/>
      <c r="G61" s="126"/>
      <c r="H61" s="126"/>
      <c r="I61" s="127"/>
    </row>
    <row r="62" spans="2:9" s="5" customFormat="1" ht="15" customHeight="1" x14ac:dyDescent="0.2">
      <c r="B62" s="132" t="s">
        <v>32</v>
      </c>
      <c r="C62" s="126"/>
      <c r="D62" s="126"/>
      <c r="E62" s="126"/>
      <c r="F62" s="126"/>
      <c r="G62" s="126"/>
      <c r="H62" s="126"/>
      <c r="I62" s="127"/>
    </row>
    <row r="63" spans="2:9" s="5" customFormat="1" ht="15" customHeight="1" x14ac:dyDescent="0.2">
      <c r="B63" s="132" t="s">
        <v>150</v>
      </c>
      <c r="C63" s="126"/>
      <c r="D63" s="126"/>
      <c r="E63" s="126"/>
      <c r="F63" s="126"/>
      <c r="G63" s="126"/>
      <c r="H63" s="126"/>
      <c r="I63" s="127"/>
    </row>
    <row r="64" spans="2:9" s="5" customFormat="1" ht="15" customHeight="1" x14ac:dyDescent="0.2">
      <c r="B64" s="132"/>
      <c r="C64" s="126"/>
      <c r="D64" s="126"/>
      <c r="E64" s="126"/>
      <c r="F64" s="126"/>
      <c r="G64" s="126"/>
      <c r="H64" s="126"/>
      <c r="I64" s="127"/>
    </row>
    <row r="65" spans="2:9" s="5" customFormat="1" ht="15" customHeight="1" x14ac:dyDescent="0.2">
      <c r="B65" s="133" t="s">
        <v>151</v>
      </c>
      <c r="C65" s="126"/>
      <c r="D65" s="126"/>
      <c r="E65" s="126"/>
      <c r="F65" s="126"/>
      <c r="G65" s="126"/>
      <c r="H65" s="126"/>
      <c r="I65" s="127"/>
    </row>
    <row r="66" spans="2:9" s="5" customFormat="1" ht="15" customHeight="1" x14ac:dyDescent="0.2">
      <c r="B66" s="132" t="s">
        <v>152</v>
      </c>
      <c r="C66" s="126"/>
      <c r="D66" s="126"/>
      <c r="E66" s="126"/>
      <c r="F66" s="126"/>
      <c r="G66" s="126"/>
      <c r="H66" s="126"/>
      <c r="I66" s="127"/>
    </row>
    <row r="67" spans="2:9" s="5" customFormat="1" ht="15" customHeight="1" x14ac:dyDescent="0.2">
      <c r="B67" s="132"/>
      <c r="C67" s="126"/>
      <c r="D67" s="126"/>
      <c r="E67" s="126"/>
      <c r="F67" s="126"/>
      <c r="G67" s="126"/>
      <c r="H67" s="126"/>
      <c r="I67" s="127"/>
    </row>
    <row r="68" spans="2:9" s="5" customFormat="1" ht="15" customHeight="1" x14ac:dyDescent="0.2">
      <c r="B68" s="133" t="s">
        <v>153</v>
      </c>
      <c r="C68" s="126"/>
      <c r="D68" s="126"/>
      <c r="E68" s="126"/>
      <c r="F68" s="126"/>
      <c r="G68" s="126"/>
      <c r="H68" s="126"/>
      <c r="I68" s="127"/>
    </row>
    <row r="69" spans="2:9" s="5" customFormat="1" ht="15" customHeight="1" x14ac:dyDescent="0.2">
      <c r="B69" s="132" t="s">
        <v>154</v>
      </c>
      <c r="C69" s="126"/>
      <c r="D69" s="126"/>
      <c r="E69" s="126"/>
      <c r="F69" s="126"/>
      <c r="G69" s="126"/>
      <c r="H69" s="126"/>
      <c r="I69" s="127"/>
    </row>
    <row r="70" spans="2:9" s="5" customFormat="1" ht="15" customHeight="1" x14ac:dyDescent="0.2">
      <c r="B70" s="132" t="s">
        <v>164</v>
      </c>
      <c r="C70" s="126"/>
      <c r="D70" s="126"/>
      <c r="E70" s="126"/>
      <c r="F70" s="126"/>
      <c r="G70" s="126"/>
      <c r="H70" s="126"/>
      <c r="I70" s="127"/>
    </row>
    <row r="71" spans="2:9" s="5" customFormat="1" ht="15" customHeight="1" x14ac:dyDescent="0.2">
      <c r="B71" s="132"/>
      <c r="C71" s="126"/>
      <c r="D71" s="126"/>
      <c r="E71" s="126"/>
      <c r="F71" s="126"/>
      <c r="G71" s="126"/>
      <c r="H71" s="126"/>
      <c r="I71" s="127"/>
    </row>
    <row r="72" spans="2:9" s="5" customFormat="1" ht="15" customHeight="1" x14ac:dyDescent="0.2">
      <c r="B72" s="133" t="s">
        <v>167</v>
      </c>
      <c r="C72" s="126"/>
      <c r="D72" s="126"/>
      <c r="E72" s="126"/>
      <c r="F72" s="126"/>
      <c r="G72" s="126"/>
      <c r="H72" s="126"/>
      <c r="I72" s="127"/>
    </row>
    <row r="73" spans="2:9" s="5" customFormat="1" ht="15" customHeight="1" x14ac:dyDescent="0.2">
      <c r="B73" s="132" t="s">
        <v>169</v>
      </c>
      <c r="C73" s="126"/>
      <c r="D73" s="126"/>
      <c r="E73" s="126"/>
      <c r="F73" s="126"/>
      <c r="G73" s="126"/>
      <c r="H73" s="126"/>
      <c r="I73" s="127"/>
    </row>
    <row r="74" spans="2:9" s="5" customFormat="1" ht="15" customHeight="1" x14ac:dyDescent="0.2">
      <c r="B74" s="132"/>
      <c r="C74" s="126"/>
      <c r="D74" s="126"/>
      <c r="E74" s="126"/>
      <c r="F74" s="126"/>
      <c r="G74" s="126"/>
      <c r="H74" s="126"/>
      <c r="I74" s="127"/>
    </row>
    <row r="75" spans="2:9" s="5" customFormat="1" ht="15" customHeight="1" x14ac:dyDescent="0.2">
      <c r="B75" s="133" t="s">
        <v>168</v>
      </c>
      <c r="C75" s="126"/>
      <c r="D75" s="126"/>
      <c r="E75" s="126"/>
      <c r="F75" s="126"/>
      <c r="G75" s="126"/>
      <c r="H75" s="126"/>
      <c r="I75" s="127"/>
    </row>
    <row r="76" spans="2:9" s="5" customFormat="1" ht="15" customHeight="1" x14ac:dyDescent="0.2">
      <c r="B76" s="132" t="s">
        <v>170</v>
      </c>
      <c r="C76" s="126"/>
      <c r="D76" s="126"/>
      <c r="E76" s="126"/>
      <c r="F76" s="126"/>
      <c r="G76" s="126"/>
      <c r="H76" s="126"/>
      <c r="I76" s="127"/>
    </row>
    <row r="77" spans="2:9" s="5" customFormat="1" ht="15" customHeight="1" x14ac:dyDescent="0.2">
      <c r="B77" s="132"/>
      <c r="C77" s="126"/>
      <c r="D77" s="126"/>
      <c r="E77" s="126"/>
      <c r="F77" s="126"/>
      <c r="G77" s="126"/>
      <c r="H77" s="126"/>
      <c r="I77" s="127"/>
    </row>
    <row r="78" spans="2:9" s="5" customFormat="1" ht="15" customHeight="1" x14ac:dyDescent="0.2">
      <c r="B78" s="133" t="s">
        <v>163</v>
      </c>
      <c r="C78" s="126"/>
      <c r="D78" s="126"/>
      <c r="E78" s="126"/>
      <c r="F78" s="126"/>
      <c r="G78" s="126"/>
      <c r="H78" s="126"/>
      <c r="I78" s="127"/>
    </row>
    <row r="79" spans="2:9" s="5" customFormat="1" ht="15" customHeight="1" x14ac:dyDescent="0.2">
      <c r="B79" s="132" t="s">
        <v>162</v>
      </c>
      <c r="C79" s="126"/>
      <c r="D79" s="126"/>
      <c r="E79" s="126"/>
      <c r="F79" s="126"/>
      <c r="G79" s="126"/>
      <c r="H79" s="126"/>
      <c r="I79" s="127"/>
    </row>
    <row r="80" spans="2:9" s="5" customFormat="1" ht="15" customHeight="1" x14ac:dyDescent="0.2">
      <c r="B80" s="132"/>
      <c r="C80" s="126"/>
      <c r="D80" s="126"/>
      <c r="E80" s="126"/>
      <c r="F80" s="126"/>
      <c r="G80" s="126"/>
      <c r="H80" s="126"/>
      <c r="I80" s="127"/>
    </row>
    <row r="81" spans="2:9" s="5" customFormat="1" ht="15" customHeight="1" x14ac:dyDescent="0.2">
      <c r="B81" s="133" t="s">
        <v>119</v>
      </c>
      <c r="C81" s="126"/>
      <c r="D81" s="126"/>
      <c r="E81" s="126"/>
      <c r="F81" s="126"/>
      <c r="G81" s="126"/>
      <c r="H81" s="126"/>
      <c r="I81" s="127"/>
    </row>
    <row r="82" spans="2:9" s="5" customFormat="1" ht="15" customHeight="1" x14ac:dyDescent="0.2">
      <c r="B82" s="132" t="s">
        <v>155</v>
      </c>
      <c r="C82" s="126"/>
      <c r="D82" s="126"/>
      <c r="E82" s="126"/>
      <c r="F82" s="126"/>
      <c r="G82" s="126"/>
      <c r="H82" s="126"/>
      <c r="I82" s="127"/>
    </row>
    <row r="83" spans="2:9" s="5" customFormat="1" ht="15" customHeight="1" x14ac:dyDescent="0.2">
      <c r="B83" s="132"/>
      <c r="C83" s="126"/>
      <c r="D83" s="126"/>
      <c r="E83" s="126"/>
      <c r="F83" s="126"/>
      <c r="G83" s="126"/>
      <c r="H83" s="126"/>
      <c r="I83" s="127"/>
    </row>
    <row r="84" spans="2:9" s="5" customFormat="1" ht="15" customHeight="1" x14ac:dyDescent="0.2">
      <c r="B84" s="133" t="s">
        <v>68</v>
      </c>
      <c r="C84" s="126"/>
      <c r="D84" s="126"/>
      <c r="E84" s="126"/>
      <c r="F84" s="126"/>
      <c r="G84" s="126"/>
      <c r="H84" s="126"/>
      <c r="I84" s="127"/>
    </row>
    <row r="85" spans="2:9" s="5" customFormat="1" ht="15" customHeight="1" thickBot="1" x14ac:dyDescent="0.25">
      <c r="B85" s="134" t="s">
        <v>27</v>
      </c>
      <c r="C85" s="135"/>
      <c r="D85" s="135"/>
      <c r="E85" s="135"/>
      <c r="F85" s="135"/>
      <c r="G85" s="135"/>
      <c r="H85" s="135"/>
      <c r="I85" s="136"/>
    </row>
    <row r="86" spans="2:9" s="5" customFormat="1" ht="15" customHeight="1" x14ac:dyDescent="0.2">
      <c r="B86" s="12"/>
      <c r="C86" s="12"/>
      <c r="D86" s="12"/>
      <c r="E86" s="12"/>
      <c r="F86" s="12"/>
      <c r="G86" s="12"/>
      <c r="H86" s="12"/>
      <c r="I86" s="12"/>
    </row>
  </sheetData>
  <protectedRanges>
    <protectedRange sqref="C11:E11" name="Range1"/>
  </protectedRanges>
  <pageMargins left="0.5" right="0.5" top="0.5" bottom="0.5" header="0.3" footer="0.3"/>
  <pageSetup scale="77" fitToHeight="0" orientation="landscape" r:id="rId1"/>
  <headerFooter>
    <oddHeader>&amp;LCO HCPF - BH&amp;RDraft and Confidential</oddHeader>
    <oddFooter>&amp;L&amp;F |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showGridLines="0" zoomScaleNormal="100" zoomScaleSheetLayoutView="70" workbookViewId="0">
      <selection activeCell="D8" sqref="D8"/>
    </sheetView>
  </sheetViews>
  <sheetFormatPr defaultColWidth="8.7109375" defaultRowHeight="12.75" x14ac:dyDescent="0.2"/>
  <cols>
    <col min="1" max="1" width="2" style="5" customWidth="1"/>
    <col min="2" max="2" width="11" style="5" bestFit="1" customWidth="1"/>
    <col min="3" max="3" width="61.140625" style="5" customWidth="1"/>
    <col min="4" max="10" width="13.42578125" style="5" customWidth="1"/>
    <col min="11" max="11" width="15.140625" style="5" bestFit="1" customWidth="1"/>
    <col min="12" max="12" width="2.28515625" style="5" customWidth="1"/>
    <col min="13" max="16384" width="8.7109375" style="5"/>
  </cols>
  <sheetData>
    <row r="1" spans="1:11" ht="15" x14ac:dyDescent="0.25">
      <c r="A1"/>
    </row>
    <row r="2" spans="1:11" ht="15" x14ac:dyDescent="0.25">
      <c r="A2"/>
      <c r="B2" s="9" t="s">
        <v>69</v>
      </c>
      <c r="C2" s="10" t="str">
        <f>Overview!$C$11</f>
        <v>Rocky Mountain Health Plans</v>
      </c>
    </row>
    <row r="3" spans="1:11" ht="15" x14ac:dyDescent="0.25">
      <c r="A3"/>
      <c r="B3" s="9" t="s">
        <v>71</v>
      </c>
      <c r="C3" s="10" t="str">
        <f>Overview!$C$12</f>
        <v>Region 01</v>
      </c>
    </row>
    <row r="4" spans="1:11" ht="15" x14ac:dyDescent="0.25">
      <c r="A4"/>
      <c r="B4" s="9" t="s">
        <v>20</v>
      </c>
      <c r="C4" s="11" t="s">
        <v>115</v>
      </c>
    </row>
    <row r="5" spans="1:11" ht="15" x14ac:dyDescent="0.25">
      <c r="A5"/>
      <c r="B5" s="9" t="s">
        <v>21</v>
      </c>
      <c r="C5" s="10" t="str">
        <f>Overview!C13</f>
        <v>July 1, 2022 - June 30, 2023</v>
      </c>
    </row>
    <row r="6" spans="1:11" ht="25.5" x14ac:dyDescent="0.25">
      <c r="A6"/>
      <c r="B6" s="9"/>
      <c r="C6" s="10"/>
      <c r="D6" s="198" t="s">
        <v>34</v>
      </c>
      <c r="E6" s="198" t="s">
        <v>35</v>
      </c>
      <c r="F6" s="198" t="s">
        <v>28</v>
      </c>
      <c r="G6" s="198" t="s">
        <v>36</v>
      </c>
      <c r="H6" s="198" t="s">
        <v>37</v>
      </c>
      <c r="I6" s="198" t="s">
        <v>38</v>
      </c>
      <c r="J6" s="198" t="s">
        <v>39</v>
      </c>
      <c r="K6" s="198" t="s">
        <v>29</v>
      </c>
    </row>
    <row r="7" spans="1:11" ht="15" x14ac:dyDescent="0.25">
      <c r="A7"/>
      <c r="B7" s="26" t="s">
        <v>5</v>
      </c>
      <c r="C7" s="26" t="s">
        <v>4</v>
      </c>
      <c r="D7" s="26"/>
      <c r="E7" s="26"/>
      <c r="F7" s="26"/>
      <c r="G7" s="26"/>
      <c r="H7" s="26"/>
      <c r="I7" s="26"/>
      <c r="J7" s="26"/>
      <c r="K7" s="26"/>
    </row>
    <row r="8" spans="1:11" ht="15" x14ac:dyDescent="0.25">
      <c r="A8"/>
      <c r="B8" s="165" t="s">
        <v>6</v>
      </c>
      <c r="C8" s="95" t="s">
        <v>171</v>
      </c>
      <c r="D8" s="206">
        <v>27168927.399999999</v>
      </c>
      <c r="E8" s="206">
        <v>27606617.059999999</v>
      </c>
      <c r="F8" s="206">
        <v>84295322.859999999</v>
      </c>
      <c r="G8" s="206">
        <v>7509816</v>
      </c>
      <c r="H8" s="206">
        <v>4303376</v>
      </c>
      <c r="I8" s="206">
        <v>2330789.7200000002</v>
      </c>
      <c r="J8" s="206">
        <v>18468489</v>
      </c>
      <c r="K8" s="225">
        <f>SUM(D8:J8)</f>
        <v>171683338.03999999</v>
      </c>
    </row>
    <row r="9" spans="1:11" ht="15" x14ac:dyDescent="0.25">
      <c r="A9"/>
      <c r="B9" s="165" t="s">
        <v>7</v>
      </c>
      <c r="C9" s="95" t="s">
        <v>172</v>
      </c>
      <c r="D9" s="206"/>
      <c r="E9" s="206"/>
      <c r="F9" s="206"/>
      <c r="G9" s="206"/>
      <c r="H9" s="206"/>
      <c r="I9" s="206"/>
      <c r="J9" s="206"/>
      <c r="K9" s="225">
        <f t="shared" ref="K9:K12" si="0">SUM(D9:J9)</f>
        <v>0</v>
      </c>
    </row>
    <row r="10" spans="1:11" ht="15" x14ac:dyDescent="0.25">
      <c r="A10"/>
      <c r="B10" s="165" t="s">
        <v>8</v>
      </c>
      <c r="C10" s="6" t="s">
        <v>173</v>
      </c>
      <c r="D10" s="206"/>
      <c r="E10" s="206"/>
      <c r="F10" s="206"/>
      <c r="G10" s="206"/>
      <c r="H10" s="206"/>
      <c r="I10" s="206"/>
      <c r="J10" s="206"/>
      <c r="K10" s="225">
        <f t="shared" si="0"/>
        <v>0</v>
      </c>
    </row>
    <row r="11" spans="1:11" ht="15" x14ac:dyDescent="0.25">
      <c r="A11"/>
      <c r="B11" s="165" t="s">
        <v>9</v>
      </c>
      <c r="C11" s="6" t="s">
        <v>174</v>
      </c>
      <c r="D11" s="206">
        <f>(2702397+668801+5595)/$K$8*D8</f>
        <v>534378.26238241629</v>
      </c>
      <c r="E11" s="206">
        <f t="shared" ref="E11:J11" si="1">(2702397+668801+5595)/$K$8*E8</f>
        <v>542987.06156429171</v>
      </c>
      <c r="F11" s="206">
        <f t="shared" si="1"/>
        <v>1657981.8368866332</v>
      </c>
      <c r="G11" s="206">
        <f t="shared" si="1"/>
        <v>147708.5335688176</v>
      </c>
      <c r="H11" s="206">
        <f t="shared" si="1"/>
        <v>84641.9350827296</v>
      </c>
      <c r="I11" s="206">
        <f t="shared" si="1"/>
        <v>45843.670683605967</v>
      </c>
      <c r="J11" s="206">
        <f t="shared" si="1"/>
        <v>363251.69983150571</v>
      </c>
      <c r="K11" s="225">
        <f t="shared" si="0"/>
        <v>3376793</v>
      </c>
    </row>
    <row r="12" spans="1:11" ht="15" x14ac:dyDescent="0.25">
      <c r="A12"/>
      <c r="B12" s="165" t="s">
        <v>10</v>
      </c>
      <c r="C12" s="6" t="s">
        <v>175</v>
      </c>
      <c r="D12" s="206"/>
      <c r="E12" s="206"/>
      <c r="F12" s="206"/>
      <c r="G12" s="206"/>
      <c r="H12" s="206"/>
      <c r="I12" s="206"/>
      <c r="J12" s="206"/>
      <c r="K12" s="225">
        <f t="shared" si="0"/>
        <v>0</v>
      </c>
    </row>
    <row r="13" spans="1:11" ht="15" x14ac:dyDescent="0.25">
      <c r="A13"/>
      <c r="B13" s="165" t="s">
        <v>11</v>
      </c>
      <c r="C13" s="6" t="s">
        <v>176</v>
      </c>
      <c r="D13" s="207"/>
      <c r="E13" s="207"/>
      <c r="F13" s="207"/>
      <c r="G13" s="207"/>
      <c r="H13" s="207"/>
      <c r="I13" s="207"/>
      <c r="J13" s="207"/>
      <c r="K13" s="225">
        <f>K8-K9+K10-K11-K12</f>
        <v>168306545.03999999</v>
      </c>
    </row>
    <row r="14" spans="1:11" ht="15.75" thickBot="1" x14ac:dyDescent="0.3">
      <c r="A14"/>
      <c r="B14" s="169" t="s">
        <v>12</v>
      </c>
      <c r="C14" s="137" t="s">
        <v>230</v>
      </c>
      <c r="D14" s="208"/>
      <c r="E14" s="208"/>
      <c r="F14" s="208"/>
      <c r="G14" s="208"/>
      <c r="H14" s="208"/>
      <c r="I14" s="208"/>
      <c r="J14" s="208"/>
      <c r="K14" s="226">
        <f>'Report 4B. SUD RC Calc'!D58</f>
        <v>-7342591.4702267507</v>
      </c>
    </row>
    <row r="15" spans="1:11" ht="15.75" thickTop="1" x14ac:dyDescent="0.25">
      <c r="A15"/>
      <c r="B15" s="180" t="s">
        <v>13</v>
      </c>
      <c r="C15" s="35" t="s">
        <v>231</v>
      </c>
      <c r="D15" s="209"/>
      <c r="E15" s="209"/>
      <c r="F15" s="209"/>
      <c r="G15" s="209"/>
      <c r="H15" s="209"/>
      <c r="I15" s="209"/>
      <c r="J15" s="209"/>
      <c r="K15" s="227">
        <f>K13+K14</f>
        <v>160963953.56977323</v>
      </c>
    </row>
    <row r="16" spans="1:11" ht="15" x14ac:dyDescent="0.25">
      <c r="A16"/>
      <c r="B16" s="181" t="s">
        <v>14</v>
      </c>
      <c r="C16" s="95" t="s">
        <v>177</v>
      </c>
      <c r="D16" s="205">
        <v>452740</v>
      </c>
      <c r="E16" s="205">
        <v>1037063</v>
      </c>
      <c r="F16" s="205">
        <v>1024618</v>
      </c>
      <c r="G16" s="205">
        <v>208606</v>
      </c>
      <c r="H16" s="205">
        <v>39200</v>
      </c>
      <c r="I16" s="205">
        <v>85817</v>
      </c>
      <c r="J16" s="205">
        <v>162175</v>
      </c>
      <c r="K16" s="56">
        <f>SUM(D16:J16)</f>
        <v>3010219</v>
      </c>
    </row>
    <row r="17" spans="1:11" ht="15" x14ac:dyDescent="0.25">
      <c r="A17"/>
      <c r="B17"/>
      <c r="C17"/>
      <c r="D17"/>
      <c r="E17"/>
      <c r="F17"/>
      <c r="G17"/>
      <c r="H17"/>
      <c r="I17"/>
      <c r="J17"/>
      <c r="K17"/>
    </row>
    <row r="18" spans="1:11" ht="15" x14ac:dyDescent="0.25">
      <c r="A18"/>
      <c r="B18" s="26" t="s">
        <v>5</v>
      </c>
      <c r="C18" s="96" t="s">
        <v>30</v>
      </c>
      <c r="D18" s="26"/>
      <c r="E18" s="26"/>
      <c r="F18" s="26"/>
      <c r="G18" s="26"/>
      <c r="H18" s="26"/>
      <c r="I18" s="26"/>
      <c r="J18" s="26"/>
      <c r="K18" s="26"/>
    </row>
    <row r="19" spans="1:11" ht="15" x14ac:dyDescent="0.25">
      <c r="A19"/>
      <c r="B19" s="178" t="s">
        <v>232</v>
      </c>
      <c r="C19" s="1" t="s">
        <v>233</v>
      </c>
      <c r="D19" s="25">
        <v>10075091.720000001</v>
      </c>
      <c r="E19" s="25">
        <v>12937448.09</v>
      </c>
      <c r="F19" s="25">
        <v>33696047.549999997</v>
      </c>
      <c r="G19" s="25">
        <v>2626746.38</v>
      </c>
      <c r="H19" s="25">
        <v>2328159.38</v>
      </c>
      <c r="I19" s="25">
        <v>247817.61</v>
      </c>
      <c r="J19" s="25">
        <v>4980570.1099999994</v>
      </c>
      <c r="K19" s="228">
        <f t="shared" ref="K19:K30" si="2">SUM(D19,E19,F19,G19,H19,I19,J19)</f>
        <v>66891880.840000004</v>
      </c>
    </row>
    <row r="20" spans="1:11" ht="15" x14ac:dyDescent="0.25">
      <c r="A20"/>
      <c r="B20" s="178" t="s">
        <v>234</v>
      </c>
      <c r="C20" s="1" t="s">
        <v>235</v>
      </c>
      <c r="D20" s="25">
        <v>9228279.9001689143</v>
      </c>
      <c r="E20" s="25">
        <v>12231839.727476861</v>
      </c>
      <c r="F20" s="25">
        <v>33426690.481830195</v>
      </c>
      <c r="G20" s="25">
        <v>2944271.4821821707</v>
      </c>
      <c r="H20" s="25">
        <v>1551810.6073807396</v>
      </c>
      <c r="I20" s="25">
        <v>1504826.8888246845</v>
      </c>
      <c r="J20" s="25">
        <v>10881213.562136428</v>
      </c>
      <c r="K20" s="228">
        <f t="shared" si="2"/>
        <v>71768932.649999991</v>
      </c>
    </row>
    <row r="21" spans="1:11" ht="15" x14ac:dyDescent="0.25">
      <c r="A21"/>
      <c r="B21" s="178" t="s">
        <v>19</v>
      </c>
      <c r="C21" s="1" t="s">
        <v>2</v>
      </c>
      <c r="D21" s="25">
        <f t="shared" ref="D21:J21" si="3">(1649784.65+775000+600000)/$K$19*D19</f>
        <v>455585.67645738361</v>
      </c>
      <c r="E21" s="25">
        <f t="shared" si="3"/>
        <v>585018.59869072586</v>
      </c>
      <c r="F21" s="25">
        <f t="shared" si="3"/>
        <v>1523701.92189247</v>
      </c>
      <c r="G21" s="25">
        <f t="shared" si="3"/>
        <v>118778.87166413643</v>
      </c>
      <c r="H21" s="25">
        <f t="shared" si="3"/>
        <v>105277.06302984433</v>
      </c>
      <c r="I21" s="25">
        <f t="shared" si="3"/>
        <v>11206.06706396337</v>
      </c>
      <c r="J21" s="25">
        <f t="shared" si="3"/>
        <v>225216.45120147604</v>
      </c>
      <c r="K21" s="228">
        <f t="shared" si="2"/>
        <v>3024784.65</v>
      </c>
    </row>
    <row r="22" spans="1:11" ht="15" x14ac:dyDescent="0.25">
      <c r="A22"/>
      <c r="B22" s="178" t="s">
        <v>16</v>
      </c>
      <c r="C22" s="1" t="s">
        <v>236</v>
      </c>
      <c r="D22" s="25">
        <f>(1091000+514380+216000+160200-6592.62)/$K$8*D8</f>
        <v>312542.2033129069</v>
      </c>
      <c r="E22" s="25">
        <f t="shared" ref="E22:J22" si="4">(1091000+514380+216000+160200-6592.62)/$K$8*E8</f>
        <v>317577.23795706726</v>
      </c>
      <c r="F22" s="25">
        <f t="shared" si="4"/>
        <v>969705.04384494957</v>
      </c>
      <c r="G22" s="25">
        <f t="shared" si="4"/>
        <v>86390.397550788897</v>
      </c>
      <c r="H22" s="25">
        <f t="shared" si="4"/>
        <v>49504.590185768036</v>
      </c>
      <c r="I22" s="25">
        <f t="shared" si="4"/>
        <v>26812.62104398989</v>
      </c>
      <c r="J22" s="25">
        <f t="shared" si="4"/>
        <v>212455.28610452931</v>
      </c>
      <c r="K22" s="228">
        <f>SUM(D22,E22,F22,G22,H22,I22,J22)</f>
        <v>1974987.38</v>
      </c>
    </row>
    <row r="23" spans="1:11" ht="15" x14ac:dyDescent="0.25">
      <c r="A23"/>
      <c r="B23" s="178" t="s">
        <v>15</v>
      </c>
      <c r="C23" s="1" t="s">
        <v>0</v>
      </c>
      <c r="D23" s="25">
        <f>(34750+46303.6)/$K$16*D16</f>
        <v>12190.543898633288</v>
      </c>
      <c r="E23" s="25">
        <f t="shared" ref="E23:J23" si="5">(34750+46303.6)/$K$16*E16</f>
        <v>27924.111028732463</v>
      </c>
      <c r="F23" s="25">
        <f t="shared" si="5"/>
        <v>27589.015126407747</v>
      </c>
      <c r="G23" s="25">
        <f t="shared" si="5"/>
        <v>5616.9558698553165</v>
      </c>
      <c r="H23" s="25">
        <f t="shared" si="5"/>
        <v>1055.5049715651917</v>
      </c>
      <c r="I23" s="25">
        <f t="shared" si="5"/>
        <v>2310.721177163522</v>
      </c>
      <c r="J23" s="25">
        <f t="shared" si="5"/>
        <v>4366.7479276424738</v>
      </c>
      <c r="K23" s="228">
        <f>SUM(D23,E23,F23,G23,H23,I23,J23)</f>
        <v>81053.600000000006</v>
      </c>
    </row>
    <row r="24" spans="1:11" ht="15" x14ac:dyDescent="0.25">
      <c r="A24"/>
      <c r="B24" s="178" t="s">
        <v>17</v>
      </c>
      <c r="C24" s="1" t="s">
        <v>237</v>
      </c>
      <c r="D24" s="25">
        <f>242929/$K$16*D16</f>
        <v>36536.768740081701</v>
      </c>
      <c r="E24" s="25">
        <f t="shared" ref="E24:J24" si="6">242929/$K$16*E16</f>
        <v>83692.474709315167</v>
      </c>
      <c r="F24" s="25">
        <f t="shared" si="6"/>
        <v>82688.145321652686</v>
      </c>
      <c r="G24" s="25">
        <f t="shared" si="6"/>
        <v>16834.804037181348</v>
      </c>
      <c r="H24" s="25">
        <f t="shared" si="6"/>
        <v>3163.4963436215107</v>
      </c>
      <c r="I24" s="25">
        <f t="shared" si="6"/>
        <v>6925.5552479736525</v>
      </c>
      <c r="J24" s="25">
        <f t="shared" si="6"/>
        <v>13087.755600173941</v>
      </c>
      <c r="K24" s="228">
        <f t="shared" si="2"/>
        <v>242929</v>
      </c>
    </row>
    <row r="25" spans="1:11" ht="15" x14ac:dyDescent="0.25">
      <c r="A25"/>
      <c r="B25" s="178" t="s">
        <v>18</v>
      </c>
      <c r="C25" s="29" t="s">
        <v>238</v>
      </c>
      <c r="D25" s="25">
        <f>2220490/$K$8*D8</f>
        <v>351393.04891876155</v>
      </c>
      <c r="E25" s="25">
        <f t="shared" ref="E25:J25" si="7">2220490/$K$8*E8</f>
        <v>357053.9681682869</v>
      </c>
      <c r="F25" s="25">
        <f t="shared" si="7"/>
        <v>1090245.1198484481</v>
      </c>
      <c r="G25" s="25">
        <f t="shared" si="7"/>
        <v>97129.235254936808</v>
      </c>
      <c r="H25" s="25">
        <f t="shared" si="7"/>
        <v>55658.30373133628</v>
      </c>
      <c r="I25" s="25">
        <f t="shared" si="7"/>
        <v>30145.588526225984</v>
      </c>
      <c r="J25" s="25">
        <f t="shared" si="7"/>
        <v>238864.73555200454</v>
      </c>
      <c r="K25" s="228">
        <f t="shared" si="2"/>
        <v>2220490</v>
      </c>
    </row>
    <row r="26" spans="1:11" ht="15" x14ac:dyDescent="0.25">
      <c r="A26"/>
      <c r="B26" s="178" t="s">
        <v>94</v>
      </c>
      <c r="C26" s="29" t="s">
        <v>239</v>
      </c>
      <c r="D26" s="25">
        <f>256688/$K$8*D8</f>
        <v>40620.934541861963</v>
      </c>
      <c r="E26" s="25">
        <f t="shared" ref="E26:J26" si="8">256688/$K$8*E8</f>
        <v>41275.335165292898</v>
      </c>
      <c r="F26" s="25">
        <f t="shared" si="8"/>
        <v>126032.01965496733</v>
      </c>
      <c r="G26" s="25">
        <f t="shared" si="8"/>
        <v>11228.111425459794</v>
      </c>
      <c r="H26" s="25">
        <f t="shared" si="8"/>
        <v>6434.0837689830832</v>
      </c>
      <c r="I26" s="25">
        <f t="shared" si="8"/>
        <v>3484.8212906249946</v>
      </c>
      <c r="J26" s="25">
        <f t="shared" si="8"/>
        <v>27612.694152809938</v>
      </c>
      <c r="K26" s="228">
        <f t="shared" si="2"/>
        <v>256688</v>
      </c>
    </row>
    <row r="27" spans="1:11" ht="15" x14ac:dyDescent="0.25">
      <c r="A27"/>
      <c r="B27" s="178" t="s">
        <v>95</v>
      </c>
      <c r="C27" s="29" t="s">
        <v>240</v>
      </c>
      <c r="D27" s="25"/>
      <c r="E27" s="25"/>
      <c r="F27" s="25"/>
      <c r="G27" s="25"/>
      <c r="H27" s="25"/>
      <c r="I27" s="25"/>
      <c r="J27" s="25"/>
      <c r="K27" s="228">
        <f t="shared" si="2"/>
        <v>0</v>
      </c>
    </row>
    <row r="28" spans="1:11" ht="15" x14ac:dyDescent="0.25">
      <c r="A28"/>
      <c r="B28" s="179" t="s">
        <v>96</v>
      </c>
      <c r="C28" s="29" t="s">
        <v>212</v>
      </c>
      <c r="D28" s="25"/>
      <c r="E28" s="25"/>
      <c r="F28" s="25"/>
      <c r="G28" s="25"/>
      <c r="H28" s="25"/>
      <c r="I28" s="25"/>
      <c r="J28" s="25"/>
      <c r="K28" s="228">
        <f t="shared" si="2"/>
        <v>0</v>
      </c>
    </row>
    <row r="29" spans="1:11" ht="15" x14ac:dyDescent="0.25">
      <c r="A29"/>
      <c r="B29" s="179" t="s">
        <v>241</v>
      </c>
      <c r="C29" s="29" t="s">
        <v>242</v>
      </c>
      <c r="D29" s="25"/>
      <c r="E29" s="25"/>
      <c r="F29" s="25"/>
      <c r="G29" s="25"/>
      <c r="H29" s="25"/>
      <c r="I29" s="25"/>
      <c r="J29" s="25"/>
      <c r="K29" s="228">
        <f t="shared" si="2"/>
        <v>0</v>
      </c>
    </row>
    <row r="30" spans="1:11" ht="15" x14ac:dyDescent="0.25">
      <c r="A30"/>
      <c r="B30" s="179" t="s">
        <v>243</v>
      </c>
      <c r="C30" s="29" t="s">
        <v>244</v>
      </c>
      <c r="D30" s="25"/>
      <c r="E30" s="25"/>
      <c r="F30" s="25"/>
      <c r="G30" s="25"/>
      <c r="H30" s="25"/>
      <c r="I30" s="25"/>
      <c r="J30" s="25"/>
      <c r="K30" s="228">
        <f t="shared" si="2"/>
        <v>0</v>
      </c>
    </row>
    <row r="31" spans="1:11" ht="25.5" x14ac:dyDescent="0.25">
      <c r="A31"/>
      <c r="B31" s="178" t="s">
        <v>245</v>
      </c>
      <c r="C31" s="1" t="s">
        <v>246</v>
      </c>
      <c r="D31" s="2">
        <f t="shared" ref="D31:K31" si="9">SUM(D19:D30)</f>
        <v>20512240.796038546</v>
      </c>
      <c r="E31" s="2">
        <f t="shared" si="9"/>
        <v>26581829.54319628</v>
      </c>
      <c r="F31" s="2">
        <f t="shared" si="9"/>
        <v>70942699.297519088</v>
      </c>
      <c r="G31" s="2">
        <f t="shared" si="9"/>
        <v>5906996.2379845288</v>
      </c>
      <c r="H31" s="2">
        <f t="shared" si="9"/>
        <v>4101063.0294118575</v>
      </c>
      <c r="I31" s="2">
        <f t="shared" si="9"/>
        <v>1833529.8731746257</v>
      </c>
      <c r="J31" s="2">
        <f t="shared" si="9"/>
        <v>16583387.342675064</v>
      </c>
      <c r="K31" s="2">
        <f t="shared" si="9"/>
        <v>146461746.12</v>
      </c>
    </row>
    <row r="32" spans="1:11" ht="15" x14ac:dyDescent="0.25">
      <c r="A32"/>
      <c r="B32" s="178" t="s">
        <v>247</v>
      </c>
      <c r="C32" s="63" t="s">
        <v>248</v>
      </c>
      <c r="D32" s="199"/>
      <c r="E32" s="199"/>
      <c r="F32" s="199"/>
      <c r="G32" s="199"/>
      <c r="H32" s="199"/>
      <c r="I32" s="199"/>
      <c r="J32" s="199"/>
      <c r="K32" s="3">
        <f>IF(K15=0,0,K31/K15)</f>
        <v>0.9099040056599571</v>
      </c>
    </row>
    <row r="33" spans="1:11" ht="15" x14ac:dyDescent="0.25">
      <c r="A33"/>
      <c r="B33" s="178" t="s">
        <v>249</v>
      </c>
      <c r="C33" s="1" t="s">
        <v>103</v>
      </c>
      <c r="D33" s="182"/>
      <c r="E33" s="182"/>
      <c r="F33" s="182"/>
      <c r="G33" s="182"/>
      <c r="H33" s="182"/>
      <c r="I33" s="182"/>
      <c r="J33" s="182"/>
      <c r="K33" s="191">
        <f ca="1">IF(K16=0,0,'Credibility Table'!C17)</f>
        <v>0</v>
      </c>
    </row>
    <row r="34" spans="1:11" ht="15" x14ac:dyDescent="0.25">
      <c r="A34"/>
      <c r="B34" s="178" t="s">
        <v>250</v>
      </c>
      <c r="C34" s="1" t="s">
        <v>251</v>
      </c>
      <c r="D34" s="200"/>
      <c r="E34" s="200"/>
      <c r="F34" s="200"/>
      <c r="G34" s="200"/>
      <c r="H34" s="200"/>
      <c r="I34" s="200"/>
      <c r="J34" s="200"/>
      <c r="K34" s="183">
        <f ca="1">IF(ISTEXT(K33),K33,K32+K33)</f>
        <v>0.9099040056599571</v>
      </c>
    </row>
    <row r="35" spans="1:11" ht="15" x14ac:dyDescent="0.25">
      <c r="A35"/>
      <c r="B35" s="178" t="s">
        <v>252</v>
      </c>
      <c r="C35" s="1" t="s">
        <v>1</v>
      </c>
      <c r="D35" s="200"/>
      <c r="E35" s="200"/>
      <c r="F35" s="200"/>
      <c r="G35" s="200"/>
      <c r="H35" s="200"/>
      <c r="I35" s="200"/>
      <c r="J35" s="200"/>
      <c r="K35" s="184">
        <v>0.89</v>
      </c>
    </row>
    <row r="36" spans="1:11" ht="15" x14ac:dyDescent="0.25">
      <c r="A36"/>
      <c r="B36" s="178" t="s">
        <v>253</v>
      </c>
      <c r="C36" s="1" t="s">
        <v>254</v>
      </c>
      <c r="D36" s="200"/>
      <c r="E36" s="200"/>
      <c r="F36" s="200"/>
      <c r="G36" s="200"/>
      <c r="H36" s="200"/>
      <c r="I36" s="200"/>
      <c r="J36" s="200"/>
      <c r="K36" s="184">
        <f>SUMIFS('Report 2. MLR Quality Metrics'!$D$12:$D$15,'Report 2. MLR Quality Metrics'!$E$12:$E$15,"Yes")</f>
        <v>0.04</v>
      </c>
    </row>
    <row r="37" spans="1:11" ht="15" x14ac:dyDescent="0.25">
      <c r="A37"/>
      <c r="B37" s="178" t="s">
        <v>255</v>
      </c>
      <c r="C37" s="29" t="s">
        <v>256</v>
      </c>
      <c r="D37" s="201"/>
      <c r="E37" s="201"/>
      <c r="F37" s="201"/>
      <c r="G37" s="201"/>
      <c r="H37" s="201"/>
      <c r="I37" s="201"/>
      <c r="J37" s="201"/>
      <c r="K37" s="185">
        <f>K35-K36</f>
        <v>0.85</v>
      </c>
    </row>
    <row r="38" spans="1:11" ht="15.75" thickBot="1" x14ac:dyDescent="0.3">
      <c r="A38"/>
      <c r="B38" s="186" t="s">
        <v>257</v>
      </c>
      <c r="C38" s="187" t="s">
        <v>258</v>
      </c>
      <c r="D38" s="202"/>
      <c r="E38" s="202"/>
      <c r="F38" s="202"/>
      <c r="G38" s="202"/>
      <c r="H38" s="202"/>
      <c r="I38" s="202"/>
      <c r="J38" s="202"/>
      <c r="K38" s="4">
        <f ca="1">IF(ISTEXT(K33),K33,IF(K37-K34&lt;0,0,K37-K34))</f>
        <v>0</v>
      </c>
    </row>
    <row r="39" spans="1:11" ht="15.75" thickTop="1" x14ac:dyDescent="0.25">
      <c r="A39"/>
      <c r="B39" s="188" t="s">
        <v>259</v>
      </c>
      <c r="C39" s="189" t="s">
        <v>260</v>
      </c>
      <c r="D39" s="190"/>
      <c r="E39" s="190"/>
      <c r="F39" s="190"/>
      <c r="G39" s="190"/>
      <c r="H39" s="190"/>
      <c r="I39" s="190"/>
      <c r="J39" s="190"/>
      <c r="K39" s="204">
        <f ca="1">IF(ISTEXT(K33),"Not Credible",IF(K38=0,0,K15-((K31+K15*K33)/K37)))</f>
        <v>0</v>
      </c>
    </row>
    <row r="40" spans="1:11" ht="15" x14ac:dyDescent="0.25">
      <c r="A40"/>
    </row>
    <row r="41" spans="1:11" ht="12.75" customHeight="1" x14ac:dyDescent="0.2">
      <c r="B41" s="192" t="s">
        <v>261</v>
      </c>
      <c r="C41" s="193"/>
      <c r="D41" s="194"/>
      <c r="E41" s="194"/>
      <c r="F41" s="194"/>
      <c r="G41" s="194"/>
      <c r="H41" s="194"/>
      <c r="I41" s="194"/>
      <c r="J41" s="194"/>
      <c r="K41" s="194"/>
    </row>
    <row r="42" spans="1:11" ht="15" x14ac:dyDescent="0.25">
      <c r="A42"/>
      <c r="B42" s="235" t="s">
        <v>279</v>
      </c>
      <c r="C42" s="236"/>
      <c r="D42" s="236"/>
      <c r="E42" s="236"/>
      <c r="F42" s="236"/>
      <c r="G42" s="236"/>
      <c r="H42" s="236"/>
      <c r="I42" s="236"/>
      <c r="J42" s="236"/>
      <c r="K42" s="237"/>
    </row>
    <row r="43" spans="1:11" ht="15" x14ac:dyDescent="0.25">
      <c r="A43"/>
      <c r="B43" s="238"/>
      <c r="C43" s="239"/>
      <c r="D43" s="239"/>
      <c r="E43" s="239"/>
      <c r="F43" s="239"/>
      <c r="G43" s="239"/>
      <c r="H43" s="239"/>
      <c r="I43" s="239"/>
      <c r="J43" s="239"/>
      <c r="K43" s="240"/>
    </row>
    <row r="44" spans="1:11" ht="15" x14ac:dyDescent="0.25">
      <c r="A44"/>
      <c r="B44" s="238"/>
      <c r="C44" s="239"/>
      <c r="D44" s="239"/>
      <c r="E44" s="239"/>
      <c r="F44" s="239"/>
      <c r="G44" s="239"/>
      <c r="H44" s="239"/>
      <c r="I44" s="239"/>
      <c r="J44" s="239"/>
      <c r="K44" s="240"/>
    </row>
    <row r="45" spans="1:11" ht="15" x14ac:dyDescent="0.25">
      <c r="A45"/>
      <c r="B45" s="238"/>
      <c r="C45" s="239"/>
      <c r="D45" s="239"/>
      <c r="E45" s="239"/>
      <c r="F45" s="239"/>
      <c r="G45" s="239"/>
      <c r="H45" s="239"/>
      <c r="I45" s="239"/>
      <c r="J45" s="239"/>
      <c r="K45" s="240"/>
    </row>
    <row r="46" spans="1:11" ht="15" x14ac:dyDescent="0.25">
      <c r="A46"/>
      <c r="B46" s="238"/>
      <c r="C46" s="239"/>
      <c r="D46" s="239"/>
      <c r="E46" s="239"/>
      <c r="F46" s="239"/>
      <c r="G46" s="239"/>
      <c r="H46" s="239"/>
      <c r="I46" s="239"/>
      <c r="J46" s="239"/>
      <c r="K46" s="240"/>
    </row>
    <row r="47" spans="1:11" ht="15" x14ac:dyDescent="0.25">
      <c r="A47"/>
      <c r="B47" s="241"/>
      <c r="C47" s="242"/>
      <c r="D47" s="242"/>
      <c r="E47" s="242"/>
      <c r="F47" s="242"/>
      <c r="G47" s="242"/>
      <c r="H47" s="242"/>
      <c r="I47" s="242"/>
      <c r="J47" s="242"/>
      <c r="K47" s="243"/>
    </row>
    <row r="49" spans="2:11" ht="25.5" x14ac:dyDescent="0.2">
      <c r="B49" s="192" t="s">
        <v>262</v>
      </c>
      <c r="C49" s="193"/>
      <c r="D49" s="194"/>
      <c r="E49" s="194"/>
      <c r="F49" s="194"/>
      <c r="G49" s="194"/>
      <c r="H49" s="194"/>
      <c r="I49" s="194"/>
      <c r="J49" s="194"/>
      <c r="K49" s="194"/>
    </row>
    <row r="50" spans="2:11" x14ac:dyDescent="0.2">
      <c r="B50" s="244"/>
      <c r="C50" s="245"/>
      <c r="D50" s="245"/>
      <c r="E50" s="245"/>
      <c r="F50" s="245"/>
      <c r="G50" s="245"/>
      <c r="H50" s="245"/>
      <c r="I50" s="245"/>
      <c r="J50" s="245"/>
      <c r="K50" s="246"/>
    </row>
    <row r="51" spans="2:11" x14ac:dyDescent="0.2">
      <c r="B51" s="247"/>
      <c r="C51" s="248"/>
      <c r="D51" s="248"/>
      <c r="E51" s="248"/>
      <c r="F51" s="248"/>
      <c r="G51" s="248"/>
      <c r="H51" s="248"/>
      <c r="I51" s="248"/>
      <c r="J51" s="248"/>
      <c r="K51" s="249"/>
    </row>
    <row r="52" spans="2:11" x14ac:dyDescent="0.2">
      <c r="B52" s="247"/>
      <c r="C52" s="248"/>
      <c r="D52" s="248"/>
      <c r="E52" s="248"/>
      <c r="F52" s="248"/>
      <c r="G52" s="248"/>
      <c r="H52" s="248"/>
      <c r="I52" s="248"/>
      <c r="J52" s="248"/>
      <c r="K52" s="249"/>
    </row>
    <row r="53" spans="2:11" x14ac:dyDescent="0.2">
      <c r="B53" s="247"/>
      <c r="C53" s="248"/>
      <c r="D53" s="248"/>
      <c r="E53" s="248"/>
      <c r="F53" s="248"/>
      <c r="G53" s="248"/>
      <c r="H53" s="248"/>
      <c r="I53" s="248"/>
      <c r="J53" s="248"/>
      <c r="K53" s="249"/>
    </row>
    <row r="54" spans="2:11" x14ac:dyDescent="0.2">
      <c r="B54" s="247"/>
      <c r="C54" s="248"/>
      <c r="D54" s="248"/>
      <c r="E54" s="248"/>
      <c r="F54" s="248"/>
      <c r="G54" s="248"/>
      <c r="H54" s="248"/>
      <c r="I54" s="248"/>
      <c r="J54" s="248"/>
      <c r="K54" s="249"/>
    </row>
    <row r="55" spans="2:11" x14ac:dyDescent="0.2">
      <c r="B55" s="250"/>
      <c r="C55" s="251"/>
      <c r="D55" s="251"/>
      <c r="E55" s="251"/>
      <c r="F55" s="251"/>
      <c r="G55" s="251"/>
      <c r="H55" s="251"/>
      <c r="I55" s="251"/>
      <c r="J55" s="251"/>
      <c r="K55" s="252"/>
    </row>
  </sheetData>
  <protectedRanges>
    <protectedRange sqref="B42:K47" name="Range1"/>
  </protectedRanges>
  <mergeCells count="2">
    <mergeCell ref="B42:K47"/>
    <mergeCell ref="B50:K55"/>
  </mergeCells>
  <printOptions horizontalCentered="1"/>
  <pageMargins left="0.5" right="0.5" top="0.5" bottom="0.5" header="0.3" footer="0.3"/>
  <pageSetup scale="83" fitToWidth="8" orientation="portrait" r:id="rId1"/>
  <headerFooter>
    <oddHeader>&amp;LCO HCPF - BH&amp;RDraft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3B8-7473-4148-937E-1B321152F211}">
  <sheetPr>
    <pageSetUpPr autoPageBreaks="0"/>
  </sheetPr>
  <dimension ref="B2:E15"/>
  <sheetViews>
    <sheetView showGridLines="0" workbookViewId="0"/>
  </sheetViews>
  <sheetFormatPr defaultColWidth="8.7109375" defaultRowHeight="12.75" x14ac:dyDescent="0.2"/>
  <cols>
    <col min="1" max="1" width="1.5703125" style="5" customWidth="1"/>
    <col min="2" max="2" width="10.5703125" style="5" bestFit="1" customWidth="1"/>
    <col min="3" max="3" width="62.7109375" style="152" customWidth="1"/>
    <col min="4" max="4" width="10.5703125" style="138" customWidth="1"/>
    <col min="5" max="5" width="12.28515625" style="138" customWidth="1"/>
    <col min="6" max="16384" width="8.7109375" style="5"/>
  </cols>
  <sheetData>
    <row r="2" spans="2:5" x14ac:dyDescent="0.2">
      <c r="B2" s="9" t="s">
        <v>69</v>
      </c>
      <c r="C2" s="10" t="str">
        <f>Overview!C11</f>
        <v>Rocky Mountain Health Plans</v>
      </c>
      <c r="D2" s="5"/>
    </row>
    <row r="3" spans="2:5" x14ac:dyDescent="0.2">
      <c r="B3" s="9" t="s">
        <v>71</v>
      </c>
      <c r="C3" s="10" t="str">
        <f>Overview!$C$12</f>
        <v>Region 01</v>
      </c>
      <c r="D3" s="5"/>
    </row>
    <row r="4" spans="2:5" x14ac:dyDescent="0.2">
      <c r="B4" s="9" t="s">
        <v>20</v>
      </c>
      <c r="C4" s="11" t="s">
        <v>117</v>
      </c>
      <c r="D4" s="5"/>
    </row>
    <row r="5" spans="2:5" x14ac:dyDescent="0.2">
      <c r="B5" s="9" t="s">
        <v>21</v>
      </c>
      <c r="C5" s="10" t="str">
        <f>Overview!C13</f>
        <v>July 1, 2022 - June 30, 2023</v>
      </c>
      <c r="D5" s="5"/>
    </row>
    <row r="6" spans="2:5" x14ac:dyDescent="0.2">
      <c r="C6" s="5"/>
      <c r="D6" s="5"/>
    </row>
    <row r="7" spans="2:5" ht="13.5" thickBot="1" x14ac:dyDescent="0.25">
      <c r="B7" s="48" t="s">
        <v>178</v>
      </c>
      <c r="C7" s="5"/>
    </row>
    <row r="8" spans="2:5" x14ac:dyDescent="0.2">
      <c r="B8" s="139" t="s">
        <v>179</v>
      </c>
      <c r="C8" s="140"/>
      <c r="D8" s="140"/>
      <c r="E8" s="141"/>
    </row>
    <row r="9" spans="2:5" ht="13.5" thickBot="1" x14ac:dyDescent="0.25">
      <c r="B9" s="142" t="s">
        <v>180</v>
      </c>
      <c r="C9" s="143"/>
      <c r="D9" s="143"/>
      <c r="E9" s="144"/>
    </row>
    <row r="11" spans="2:5" x14ac:dyDescent="0.2">
      <c r="B11" s="145" t="s">
        <v>181</v>
      </c>
      <c r="C11" s="146" t="s">
        <v>182</v>
      </c>
      <c r="D11" s="145" t="s">
        <v>92</v>
      </c>
      <c r="E11" s="145" t="s">
        <v>183</v>
      </c>
    </row>
    <row r="12" spans="2:5" s="151" customFormat="1" x14ac:dyDescent="0.25">
      <c r="B12" s="147">
        <v>1</v>
      </c>
      <c r="C12" s="148" t="s">
        <v>184</v>
      </c>
      <c r="D12" s="149">
        <v>0.01</v>
      </c>
      <c r="E12" s="150" t="s">
        <v>275</v>
      </c>
    </row>
    <row r="13" spans="2:5" s="151" customFormat="1" x14ac:dyDescent="0.25">
      <c r="B13" s="147">
        <v>2</v>
      </c>
      <c r="C13" s="148" t="s">
        <v>184</v>
      </c>
      <c r="D13" s="149">
        <v>0.01</v>
      </c>
      <c r="E13" s="150" t="s">
        <v>275</v>
      </c>
    </row>
    <row r="14" spans="2:5" s="151" customFormat="1" x14ac:dyDescent="0.25">
      <c r="B14" s="147">
        <v>3</v>
      </c>
      <c r="C14" s="148" t="s">
        <v>184</v>
      </c>
      <c r="D14" s="149">
        <v>0.01</v>
      </c>
      <c r="E14" s="150" t="s">
        <v>275</v>
      </c>
    </row>
    <row r="15" spans="2:5" s="151" customFormat="1" x14ac:dyDescent="0.25">
      <c r="B15" s="147">
        <v>4</v>
      </c>
      <c r="C15" s="148" t="s">
        <v>184</v>
      </c>
      <c r="D15" s="149">
        <v>0.01</v>
      </c>
      <c r="E15" s="150" t="s">
        <v>275</v>
      </c>
    </row>
  </sheetData>
  <dataValidations count="1">
    <dataValidation type="list" allowBlank="1" showInputMessage="1" showErrorMessage="1" sqref="E12:E15" xr:uid="{B48B43F0-B37F-4313-A1BB-EFEA10310469}">
      <formula1>"Yes, No"</formula1>
    </dataValidation>
  </dataValidations>
  <pageMargins left="0.5" right="0.5" top="0.5" bottom="0.5" header="0.3" footer="0.3"/>
  <pageSetup orientation="portrait" horizontalDpi="300" verticalDpi="300" r:id="rId1"/>
  <headerFooter>
    <oddHeader>&amp;LCO HCPF - BH&amp;RDraft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3B9C-113C-47BF-BE84-91FCFAF3D52B}">
  <sheetPr>
    <pageSetUpPr autoPageBreaks="0"/>
  </sheetPr>
  <dimension ref="A2:J66"/>
  <sheetViews>
    <sheetView showGridLines="0" zoomScaleNormal="100" workbookViewId="0">
      <selection activeCell="D55" sqref="D55"/>
    </sheetView>
  </sheetViews>
  <sheetFormatPr defaultColWidth="8.7109375" defaultRowHeight="12.75" x14ac:dyDescent="0.2"/>
  <cols>
    <col min="1" max="1" width="1.5703125" style="5" customWidth="1"/>
    <col min="2" max="2" width="11.42578125" style="152" customWidth="1"/>
    <col min="3" max="3" width="67.28515625" style="138" customWidth="1"/>
    <col min="4" max="4" width="12.7109375" style="5" customWidth="1"/>
    <col min="5" max="16384" width="8.7109375" style="5"/>
  </cols>
  <sheetData>
    <row r="2" spans="1:10" x14ac:dyDescent="0.2">
      <c r="B2" s="9" t="s">
        <v>69</v>
      </c>
      <c r="C2" s="10" t="str">
        <f>Overview!C11</f>
        <v>Rocky Mountain Health Plans</v>
      </c>
      <c r="E2" s="138"/>
    </row>
    <row r="3" spans="1:10" x14ac:dyDescent="0.2">
      <c r="B3" s="9" t="s">
        <v>71</v>
      </c>
      <c r="C3" s="10" t="str">
        <f>Overview!$C$12</f>
        <v>Region 01</v>
      </c>
      <c r="E3" s="138"/>
    </row>
    <row r="4" spans="1:10" x14ac:dyDescent="0.2">
      <c r="B4" s="9" t="s">
        <v>20</v>
      </c>
      <c r="C4" s="11" t="s">
        <v>93</v>
      </c>
      <c r="E4" s="138"/>
    </row>
    <row r="5" spans="1:10" x14ac:dyDescent="0.2">
      <c r="B5" s="9" t="s">
        <v>21</v>
      </c>
      <c r="C5" s="10" t="str">
        <f>Overview!C13</f>
        <v>July 1, 2022 - June 30, 2023</v>
      </c>
      <c r="E5" s="138"/>
    </row>
    <row r="6" spans="1:10" x14ac:dyDescent="0.2">
      <c r="B6" s="9"/>
      <c r="C6" s="10"/>
      <c r="E6" s="138"/>
    </row>
    <row r="7" spans="1:10" ht="15.75" thickBot="1" x14ac:dyDescent="0.3">
      <c r="A7" s="48"/>
      <c r="B7" s="48" t="s">
        <v>185</v>
      </c>
      <c r="G7"/>
      <c r="H7"/>
      <c r="I7"/>
      <c r="J7"/>
    </row>
    <row r="8" spans="1:10" ht="15" x14ac:dyDescent="0.25">
      <c r="A8" s="48"/>
      <c r="B8" s="153" t="s">
        <v>186</v>
      </c>
      <c r="C8" s="154"/>
      <c r="D8" s="155"/>
      <c r="G8"/>
      <c r="H8"/>
      <c r="I8"/>
      <c r="J8"/>
    </row>
    <row r="9" spans="1:10" ht="15" x14ac:dyDescent="0.25">
      <c r="A9" s="48"/>
      <c r="B9" s="156" t="s">
        <v>187</v>
      </c>
      <c r="D9" s="157"/>
      <c r="G9"/>
      <c r="H9"/>
      <c r="I9"/>
      <c r="J9"/>
    </row>
    <row r="10" spans="1:10" ht="15" x14ac:dyDescent="0.25">
      <c r="A10" s="48"/>
      <c r="B10" s="156"/>
      <c r="D10" s="157"/>
      <c r="H10"/>
      <c r="I10"/>
      <c r="J10"/>
    </row>
    <row r="11" spans="1:10" ht="15" x14ac:dyDescent="0.25">
      <c r="A11" s="48"/>
      <c r="B11" s="158" t="s">
        <v>188</v>
      </c>
      <c r="D11" s="157"/>
      <c r="H11"/>
      <c r="I11"/>
      <c r="J11"/>
    </row>
    <row r="12" spans="1:10" ht="15" x14ac:dyDescent="0.25">
      <c r="A12" s="48"/>
      <c r="B12" s="156" t="s">
        <v>189</v>
      </c>
      <c r="D12" s="157"/>
      <c r="H12"/>
      <c r="I12"/>
      <c r="J12"/>
    </row>
    <row r="13" spans="1:10" ht="15" x14ac:dyDescent="0.25">
      <c r="A13" s="48"/>
      <c r="B13" s="156" t="s">
        <v>190</v>
      </c>
      <c r="D13" s="157"/>
      <c r="H13"/>
      <c r="I13"/>
      <c r="J13"/>
    </row>
    <row r="14" spans="1:10" x14ac:dyDescent="0.2">
      <c r="A14" s="48"/>
      <c r="B14" s="156" t="s">
        <v>191</v>
      </c>
      <c r="D14" s="157"/>
    </row>
    <row r="15" spans="1:10" ht="13.5" thickBot="1" x14ac:dyDescent="0.25">
      <c r="A15" s="48"/>
      <c r="B15" s="159" t="s">
        <v>192</v>
      </c>
      <c r="C15" s="160"/>
      <c r="D15" s="161"/>
    </row>
    <row r="16" spans="1:10" x14ac:dyDescent="0.2">
      <c r="A16" s="48"/>
      <c r="B16" s="5"/>
    </row>
    <row r="17" spans="2:4" x14ac:dyDescent="0.2">
      <c r="B17" s="117" t="s">
        <v>5</v>
      </c>
      <c r="C17" s="117" t="s">
        <v>193</v>
      </c>
      <c r="D17" s="117"/>
    </row>
    <row r="18" spans="2:4" x14ac:dyDescent="0.2">
      <c r="B18" s="162" t="s">
        <v>194</v>
      </c>
      <c r="C18" s="163"/>
      <c r="D18" s="164"/>
    </row>
    <row r="19" spans="2:4" x14ac:dyDescent="0.2">
      <c r="B19" s="165">
        <v>1</v>
      </c>
      <c r="C19" s="166" t="s">
        <v>195</v>
      </c>
      <c r="D19" s="167">
        <v>0</v>
      </c>
    </row>
    <row r="20" spans="2:4" x14ac:dyDescent="0.2">
      <c r="B20" s="165">
        <v>2</v>
      </c>
      <c r="C20" s="166" t="s">
        <v>196</v>
      </c>
      <c r="D20" s="167">
        <v>450143.18261491979</v>
      </c>
    </row>
    <row r="21" spans="2:4" x14ac:dyDescent="0.2">
      <c r="B21" s="165">
        <v>3</v>
      </c>
      <c r="C21" s="166" t="s">
        <v>197</v>
      </c>
      <c r="D21" s="167">
        <v>4894422.4949275795</v>
      </c>
    </row>
    <row r="22" spans="2:4" x14ac:dyDescent="0.2">
      <c r="B22" s="165">
        <v>4</v>
      </c>
      <c r="C22" s="166" t="s">
        <v>198</v>
      </c>
      <c r="D22" s="168">
        <v>109618.23035167267</v>
      </c>
    </row>
    <row r="23" spans="2:4" x14ac:dyDescent="0.2">
      <c r="B23" s="165">
        <v>5</v>
      </c>
      <c r="C23" s="166" t="s">
        <v>199</v>
      </c>
      <c r="D23" s="167">
        <v>0</v>
      </c>
    </row>
    <row r="24" spans="2:4" x14ac:dyDescent="0.2">
      <c r="B24" s="165">
        <v>6</v>
      </c>
      <c r="C24" s="166" t="s">
        <v>200</v>
      </c>
      <c r="D24" s="167">
        <v>0</v>
      </c>
    </row>
    <row r="25" spans="2:4" x14ac:dyDescent="0.2">
      <c r="B25" s="165">
        <v>7</v>
      </c>
      <c r="C25" s="166" t="s">
        <v>201</v>
      </c>
      <c r="D25" s="168">
        <v>1395247.3595761638</v>
      </c>
    </row>
    <row r="26" spans="2:4" x14ac:dyDescent="0.2">
      <c r="B26" s="165">
        <v>8</v>
      </c>
      <c r="C26" s="166" t="s">
        <v>202</v>
      </c>
      <c r="D26" s="168">
        <v>393244.05939712789</v>
      </c>
    </row>
    <row r="27" spans="2:4" x14ac:dyDescent="0.2">
      <c r="B27" s="165">
        <v>9</v>
      </c>
      <c r="C27" s="166" t="s">
        <v>203</v>
      </c>
      <c r="D27" s="168">
        <v>208060.50313426118</v>
      </c>
    </row>
    <row r="28" spans="2:4" x14ac:dyDescent="0.2">
      <c r="B28" s="165">
        <v>10</v>
      </c>
      <c r="C28" s="166" t="s">
        <v>204</v>
      </c>
      <c r="D28" s="168">
        <v>3228689.7407427924</v>
      </c>
    </row>
    <row r="29" spans="2:4" x14ac:dyDescent="0.2">
      <c r="B29" s="165">
        <v>11</v>
      </c>
      <c r="C29" s="166" t="s">
        <v>205</v>
      </c>
      <c r="D29" s="168">
        <v>397538.31134890759</v>
      </c>
    </row>
    <row r="30" spans="2:4" x14ac:dyDescent="0.2">
      <c r="B30" s="165">
        <v>12</v>
      </c>
      <c r="C30" s="166" t="s">
        <v>206</v>
      </c>
      <c r="D30" s="168">
        <v>948859.07314851764</v>
      </c>
    </row>
    <row r="31" spans="2:4" x14ac:dyDescent="0.2">
      <c r="B31" s="165">
        <v>13</v>
      </c>
      <c r="C31" s="166" t="s">
        <v>207</v>
      </c>
      <c r="D31" s="168">
        <v>0</v>
      </c>
    </row>
    <row r="32" spans="2:4" x14ac:dyDescent="0.2">
      <c r="B32" s="165">
        <v>14</v>
      </c>
      <c r="C32" s="166" t="s">
        <v>208</v>
      </c>
      <c r="D32" s="168">
        <v>0</v>
      </c>
    </row>
    <row r="33" spans="2:4" x14ac:dyDescent="0.2">
      <c r="B33" s="165">
        <v>15</v>
      </c>
      <c r="C33" s="166" t="s">
        <v>209</v>
      </c>
      <c r="D33" s="168">
        <v>0</v>
      </c>
    </row>
    <row r="34" spans="2:4" x14ac:dyDescent="0.2">
      <c r="B34" s="165">
        <v>16</v>
      </c>
      <c r="C34" s="166" t="s">
        <v>210</v>
      </c>
      <c r="D34" s="168">
        <v>0</v>
      </c>
    </row>
    <row r="35" spans="2:4" x14ac:dyDescent="0.2">
      <c r="B35" s="165">
        <v>17</v>
      </c>
      <c r="C35" s="166" t="s">
        <v>211</v>
      </c>
      <c r="D35" s="168">
        <v>1089657.6692635121</v>
      </c>
    </row>
    <row r="36" spans="2:4" x14ac:dyDescent="0.2">
      <c r="B36" s="165">
        <v>18</v>
      </c>
      <c r="C36" s="166" t="s">
        <v>212</v>
      </c>
      <c r="D36" s="168">
        <v>0</v>
      </c>
    </row>
    <row r="37" spans="2:4" x14ac:dyDescent="0.2">
      <c r="B37" s="165">
        <v>19</v>
      </c>
      <c r="C37" s="166" t="s">
        <v>79</v>
      </c>
      <c r="D37" s="168">
        <v>0</v>
      </c>
    </row>
    <row r="38" spans="2:4" x14ac:dyDescent="0.2">
      <c r="B38" s="165">
        <v>20</v>
      </c>
      <c r="C38" s="166" t="s">
        <v>213</v>
      </c>
      <c r="D38" s="168">
        <v>0</v>
      </c>
    </row>
    <row r="39" spans="2:4" x14ac:dyDescent="0.2">
      <c r="B39" s="165">
        <v>21</v>
      </c>
      <c r="C39" s="166" t="s">
        <v>214</v>
      </c>
      <c r="D39" s="168">
        <v>2702397.4799999981</v>
      </c>
    </row>
    <row r="40" spans="2:4" x14ac:dyDescent="0.2">
      <c r="B40" s="165">
        <v>22</v>
      </c>
      <c r="C40" s="166" t="s">
        <v>215</v>
      </c>
      <c r="D40" s="168">
        <v>668801.15000000014</v>
      </c>
    </row>
    <row r="41" spans="2:4" x14ac:dyDescent="0.2">
      <c r="B41" s="165">
        <v>23</v>
      </c>
      <c r="C41" s="166" t="s">
        <v>216</v>
      </c>
      <c r="D41" s="168">
        <v>0</v>
      </c>
    </row>
    <row r="42" spans="2:4" ht="13.5" thickBot="1" x14ac:dyDescent="0.25">
      <c r="B42" s="169">
        <v>24</v>
      </c>
      <c r="C42" s="170" t="s">
        <v>217</v>
      </c>
      <c r="D42" s="168">
        <v>5595</v>
      </c>
    </row>
    <row r="43" spans="2:4" ht="13.5" thickTop="1" x14ac:dyDescent="0.2">
      <c r="B43" s="172" t="s">
        <v>218</v>
      </c>
      <c r="C43" s="172"/>
      <c r="D43" s="173">
        <f>SUM(D19:D42)</f>
        <v>16492274.254505452</v>
      </c>
    </row>
    <row r="44" spans="2:4" x14ac:dyDescent="0.2">
      <c r="B44" s="100"/>
      <c r="C44" s="100"/>
      <c r="D44" s="174"/>
    </row>
    <row r="45" spans="2:4" x14ac:dyDescent="0.2">
      <c r="B45" s="162" t="s">
        <v>219</v>
      </c>
      <c r="C45" s="162"/>
      <c r="D45" s="175"/>
    </row>
    <row r="46" spans="2:4" x14ac:dyDescent="0.2">
      <c r="B46" s="165">
        <v>24</v>
      </c>
      <c r="C46" s="166" t="s">
        <v>220</v>
      </c>
      <c r="D46" s="168">
        <v>0</v>
      </c>
    </row>
    <row r="47" spans="2:4" x14ac:dyDescent="0.2">
      <c r="B47" s="165">
        <v>25</v>
      </c>
      <c r="C47" s="166" t="s">
        <v>221</v>
      </c>
      <c r="D47" s="168">
        <v>3536.4074219784961</v>
      </c>
    </row>
    <row r="48" spans="2:4" x14ac:dyDescent="0.2">
      <c r="B48" s="165">
        <v>26</v>
      </c>
      <c r="C48" s="166" t="s">
        <v>222</v>
      </c>
      <c r="D48" s="168">
        <v>23939.839619625775</v>
      </c>
    </row>
    <row r="49" spans="2:4" x14ac:dyDescent="0.2">
      <c r="B49" s="165">
        <v>27</v>
      </c>
      <c r="C49" s="166" t="s">
        <v>223</v>
      </c>
      <c r="D49" s="168">
        <v>0</v>
      </c>
    </row>
    <row r="50" spans="2:4" x14ac:dyDescent="0.2">
      <c r="B50" s="165">
        <v>28</v>
      </c>
      <c r="C50" s="166" t="s">
        <v>224</v>
      </c>
      <c r="D50" s="168">
        <v>0</v>
      </c>
    </row>
    <row r="51" spans="2:4" x14ac:dyDescent="0.2">
      <c r="B51" s="165">
        <v>29</v>
      </c>
      <c r="C51" s="166" t="s">
        <v>225</v>
      </c>
      <c r="D51" s="168">
        <v>315692.23332449788</v>
      </c>
    </row>
    <row r="52" spans="2:4" x14ac:dyDescent="0.2">
      <c r="B52" s="165">
        <v>30</v>
      </c>
      <c r="C52" s="176" t="s">
        <v>226</v>
      </c>
      <c r="D52" s="168">
        <v>0</v>
      </c>
    </row>
    <row r="53" spans="2:4" ht="13.5" thickBot="1" x14ac:dyDescent="0.25">
      <c r="B53" s="169">
        <v>31</v>
      </c>
      <c r="C53" s="177" t="s">
        <v>226</v>
      </c>
      <c r="D53" s="171">
        <v>0</v>
      </c>
    </row>
    <row r="54" spans="2:4" ht="14.25" thickTop="1" thickBot="1" x14ac:dyDescent="0.25">
      <c r="B54" s="172" t="s">
        <v>227</v>
      </c>
      <c r="C54" s="172"/>
      <c r="D54" s="173">
        <f>SUM(D46:D53)</f>
        <v>343168.48036610213</v>
      </c>
    </row>
    <row r="55" spans="2:4" ht="13.5" thickTop="1" x14ac:dyDescent="0.2">
      <c r="B55" s="172" t="s">
        <v>228</v>
      </c>
      <c r="C55" s="172"/>
      <c r="D55" s="173">
        <f>D43+D54</f>
        <v>16835442.734871555</v>
      </c>
    </row>
    <row r="56" spans="2:4" x14ac:dyDescent="0.2">
      <c r="B56" s="5"/>
    </row>
    <row r="57" spans="2:4" x14ac:dyDescent="0.2">
      <c r="B57" s="162" t="s">
        <v>229</v>
      </c>
      <c r="C57" s="163"/>
      <c r="D57" s="162"/>
    </row>
    <row r="58" spans="2:4" x14ac:dyDescent="0.2">
      <c r="B58" s="235" t="s">
        <v>281</v>
      </c>
      <c r="C58" s="236"/>
      <c r="D58" s="237"/>
    </row>
    <row r="59" spans="2:4" x14ac:dyDescent="0.2">
      <c r="B59" s="238"/>
      <c r="C59" s="239"/>
      <c r="D59" s="240"/>
    </row>
    <row r="60" spans="2:4" x14ac:dyDescent="0.2">
      <c r="B60" s="238"/>
      <c r="C60" s="239"/>
      <c r="D60" s="240"/>
    </row>
    <row r="61" spans="2:4" x14ac:dyDescent="0.2">
      <c r="B61" s="238"/>
      <c r="C61" s="239"/>
      <c r="D61" s="240"/>
    </row>
    <row r="62" spans="2:4" x14ac:dyDescent="0.2">
      <c r="B62" s="238"/>
      <c r="C62" s="239"/>
      <c r="D62" s="240"/>
    </row>
    <row r="63" spans="2:4" x14ac:dyDescent="0.2">
      <c r="B63" s="241"/>
      <c r="C63" s="242"/>
      <c r="D63" s="243"/>
    </row>
    <row r="64" spans="2:4" x14ac:dyDescent="0.2">
      <c r="B64" s="5"/>
    </row>
    <row r="65" spans="1:10" x14ac:dyDescent="0.2">
      <c r="B65" s="5"/>
    </row>
    <row r="66" spans="1:10" s="138" customFormat="1" x14ac:dyDescent="0.2">
      <c r="A66" s="5"/>
      <c r="B66" s="5"/>
      <c r="D66" s="5"/>
      <c r="E66" s="5"/>
      <c r="F66" s="5"/>
      <c r="G66" s="5"/>
      <c r="H66" s="5"/>
      <c r="I66" s="5"/>
      <c r="J66" s="5"/>
    </row>
  </sheetData>
  <mergeCells count="1">
    <mergeCell ref="B58:D63"/>
  </mergeCells>
  <pageMargins left="0.5" right="0.5" top="0.5" bottom="0.5" header="0.3" footer="0.3"/>
  <pageSetup orientation="portrait" horizontalDpi="300" verticalDpi="300" r:id="rId1"/>
  <headerFooter>
    <oddHeader>&amp;LCO HCPF - BH&amp;RDraft and Confidential</oddHeader>
    <oddFooter>&amp;L&amp;F | &amp;A&amp;R&amp;G</oddFooter>
  </headerFooter>
  <rowBreaks count="1" manualBreakCount="1">
    <brk id="44" min="1" max="3"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7"/>
  <sheetViews>
    <sheetView zoomScaleNormal="100" zoomScaleSheetLayoutView="70" workbookViewId="0">
      <selection activeCell="C10" sqref="C10"/>
    </sheetView>
  </sheetViews>
  <sheetFormatPr defaultColWidth="8.7109375" defaultRowHeight="12.75" x14ac:dyDescent="0.2"/>
  <cols>
    <col min="1" max="1" width="2.28515625" style="5" customWidth="1"/>
    <col min="2" max="2" width="11" style="5" bestFit="1" customWidth="1"/>
    <col min="3" max="3" width="23.28515625" style="5" bestFit="1" customWidth="1"/>
    <col min="4" max="8" width="9.7109375" style="5" customWidth="1"/>
    <col min="9" max="9" width="2.28515625" style="5" customWidth="1"/>
    <col min="10" max="10" width="11" style="5" bestFit="1" customWidth="1"/>
    <col min="11" max="11" width="18.28515625" style="5" bestFit="1" customWidth="1"/>
    <col min="12" max="16" width="13.7109375" style="5" customWidth="1"/>
    <col min="17" max="17" width="2.28515625" style="5" customWidth="1"/>
    <col min="18" max="16384" width="8.7109375" style="5"/>
  </cols>
  <sheetData>
    <row r="2" spans="2:16" x14ac:dyDescent="0.2">
      <c r="B2" s="9" t="s">
        <v>69</v>
      </c>
      <c r="C2" s="10" t="str">
        <f>Overview!$C$11</f>
        <v>Rocky Mountain Health Plans</v>
      </c>
    </row>
    <row r="3" spans="2:16" x14ac:dyDescent="0.2">
      <c r="B3" s="9" t="s">
        <v>71</v>
      </c>
      <c r="C3" s="10" t="str">
        <f>Overview!C12</f>
        <v>Region 01</v>
      </c>
    </row>
    <row r="4" spans="2:16" x14ac:dyDescent="0.2">
      <c r="B4" s="9" t="s">
        <v>20</v>
      </c>
      <c r="C4" s="11" t="s">
        <v>97</v>
      </c>
    </row>
    <row r="5" spans="2:16" x14ac:dyDescent="0.2">
      <c r="B5" s="9" t="s">
        <v>21</v>
      </c>
      <c r="C5" s="10" t="str">
        <f>Overview!C13</f>
        <v>July 1, 2022 - June 30, 2023</v>
      </c>
      <c r="D5" s="233" t="s">
        <v>292</v>
      </c>
    </row>
    <row r="6" spans="2:16" x14ac:dyDescent="0.2">
      <c r="B6" s="9"/>
      <c r="C6" s="10"/>
    </row>
    <row r="7" spans="2:16" ht="15" x14ac:dyDescent="0.25">
      <c r="B7" s="55" t="s">
        <v>98</v>
      </c>
    </row>
    <row r="8" spans="2:16" x14ac:dyDescent="0.2">
      <c r="B8" s="9"/>
    </row>
    <row r="9" spans="2:16" x14ac:dyDescent="0.2">
      <c r="B9" s="9"/>
      <c r="C9" s="43" t="s">
        <v>62</v>
      </c>
    </row>
    <row r="10" spans="2:16" x14ac:dyDescent="0.2">
      <c r="B10" s="9"/>
      <c r="C10" s="38">
        <v>634355.61</v>
      </c>
      <c r="D10" s="5" t="s">
        <v>282</v>
      </c>
    </row>
    <row r="11" spans="2:16" x14ac:dyDescent="0.2">
      <c r="B11" s="9"/>
      <c r="C11" s="10"/>
      <c r="J11" s="9"/>
      <c r="K11" s="10"/>
    </row>
    <row r="12" spans="2:16" x14ac:dyDescent="0.2">
      <c r="C12" s="30"/>
      <c r="D12" s="26" t="s">
        <v>49</v>
      </c>
      <c r="E12" s="26"/>
      <c r="F12" s="26"/>
      <c r="G12" s="26"/>
      <c r="H12" s="26"/>
      <c r="K12" s="30"/>
      <c r="L12" s="26" t="s">
        <v>70</v>
      </c>
      <c r="M12" s="26"/>
      <c r="N12" s="26"/>
      <c r="O12" s="26"/>
      <c r="P12" s="26"/>
    </row>
    <row r="13" spans="2:16" x14ac:dyDescent="0.2">
      <c r="B13" s="26" t="s">
        <v>269</v>
      </c>
      <c r="C13" s="31" t="s">
        <v>42</v>
      </c>
      <c r="D13" s="33" t="s">
        <v>50</v>
      </c>
      <c r="E13" s="33" t="s">
        <v>51</v>
      </c>
      <c r="F13" s="33" t="s">
        <v>52</v>
      </c>
      <c r="G13" s="31" t="s">
        <v>40</v>
      </c>
      <c r="H13" s="31" t="s">
        <v>41</v>
      </c>
      <c r="J13" s="26" t="str">
        <f>B13</f>
        <v>JUL'22</v>
      </c>
      <c r="K13" s="31" t="s">
        <v>42</v>
      </c>
      <c r="L13" s="33" t="s">
        <v>50</v>
      </c>
      <c r="M13" s="33" t="s">
        <v>51</v>
      </c>
      <c r="N13" s="33" t="s">
        <v>52</v>
      </c>
      <c r="O13" s="31" t="s">
        <v>40</v>
      </c>
      <c r="P13" s="31" t="s">
        <v>41</v>
      </c>
    </row>
    <row r="14" spans="2:16" ht="15" x14ac:dyDescent="0.25">
      <c r="B14"/>
      <c r="C14" s="6" t="s">
        <v>43</v>
      </c>
      <c r="D14" s="219"/>
      <c r="E14" s="219"/>
      <c r="F14" s="34">
        <v>183</v>
      </c>
      <c r="G14" s="219"/>
      <c r="H14" s="34">
        <v>134</v>
      </c>
      <c r="J14"/>
      <c r="K14" s="6" t="s">
        <v>43</v>
      </c>
      <c r="L14" s="220"/>
      <c r="M14" s="220"/>
      <c r="N14" s="38">
        <v>166400</v>
      </c>
      <c r="O14" s="220"/>
      <c r="P14" s="38">
        <v>125933.87</v>
      </c>
    </row>
    <row r="15" spans="2:16" ht="15" x14ac:dyDescent="0.25">
      <c r="B15"/>
      <c r="C15" s="6" t="s">
        <v>44</v>
      </c>
      <c r="D15" s="34">
        <v>77</v>
      </c>
      <c r="E15" s="34">
        <v>1685</v>
      </c>
      <c r="F15" s="219"/>
      <c r="G15" s="34">
        <v>411</v>
      </c>
      <c r="H15" s="219"/>
      <c r="J15"/>
      <c r="K15" s="6" t="s">
        <v>44</v>
      </c>
      <c r="L15" s="38">
        <v>11200</v>
      </c>
      <c r="M15" s="38">
        <v>626615</v>
      </c>
      <c r="N15" s="220"/>
      <c r="O15" s="38">
        <v>145922.6</v>
      </c>
      <c r="P15" s="220"/>
    </row>
    <row r="16" spans="2:16" ht="15.75" thickBot="1" x14ac:dyDescent="0.3">
      <c r="B16"/>
      <c r="C16" s="8" t="s">
        <v>45</v>
      </c>
      <c r="D16" s="36"/>
      <c r="E16" s="36"/>
      <c r="F16" s="36">
        <v>7</v>
      </c>
      <c r="G16" s="36"/>
      <c r="H16" s="36">
        <v>92</v>
      </c>
      <c r="J16"/>
      <c r="K16" s="8" t="s">
        <v>45</v>
      </c>
      <c r="L16" s="39"/>
      <c r="M16" s="39"/>
      <c r="N16" s="39">
        <v>4686.5</v>
      </c>
      <c r="O16" s="39"/>
      <c r="P16" s="39">
        <v>81691.520000000004</v>
      </c>
    </row>
    <row r="17" spans="2:16" ht="15.75" thickTop="1" x14ac:dyDescent="0.25">
      <c r="B17"/>
      <c r="C17" s="35" t="s">
        <v>29</v>
      </c>
      <c r="D17" s="37">
        <f>SUM(D14:D16)</f>
        <v>77</v>
      </c>
      <c r="E17" s="37">
        <f t="shared" ref="E17:H17" si="0">SUM(E14:E16)</f>
        <v>1685</v>
      </c>
      <c r="F17" s="37">
        <f t="shared" si="0"/>
        <v>190</v>
      </c>
      <c r="G17" s="37">
        <f t="shared" si="0"/>
        <v>411</v>
      </c>
      <c r="H17" s="37">
        <f t="shared" si="0"/>
        <v>226</v>
      </c>
      <c r="J17"/>
      <c r="K17" s="35" t="s">
        <v>29</v>
      </c>
      <c r="L17" s="40">
        <f>SUM(L14:L16)</f>
        <v>11200</v>
      </c>
      <c r="M17" s="40">
        <f t="shared" ref="M17:P17" si="1">SUM(M14:M16)</f>
        <v>626615</v>
      </c>
      <c r="N17" s="40">
        <f t="shared" si="1"/>
        <v>171086.5</v>
      </c>
      <c r="O17" s="40">
        <f t="shared" si="1"/>
        <v>145922.6</v>
      </c>
      <c r="P17" s="40">
        <f t="shared" si="1"/>
        <v>207625.39</v>
      </c>
    </row>
    <row r="18" spans="2:16" ht="15" x14ac:dyDescent="0.25">
      <c r="B18"/>
      <c r="C18"/>
      <c r="D18"/>
      <c r="E18"/>
      <c r="F18"/>
      <c r="G18"/>
      <c r="H18"/>
      <c r="J18"/>
      <c r="K18"/>
    </row>
    <row r="19" spans="2:16" x14ac:dyDescent="0.2">
      <c r="C19" s="30"/>
      <c r="D19" s="26" t="s">
        <v>49</v>
      </c>
      <c r="E19" s="26"/>
      <c r="F19" s="26"/>
      <c r="G19" s="26"/>
      <c r="H19" s="26"/>
      <c r="K19" s="30"/>
      <c r="L19" s="26" t="s">
        <v>70</v>
      </c>
      <c r="M19" s="26"/>
      <c r="N19" s="26"/>
      <c r="O19" s="26"/>
      <c r="P19" s="26"/>
    </row>
    <row r="20" spans="2:16" x14ac:dyDescent="0.2">
      <c r="B20" s="26" t="s">
        <v>270</v>
      </c>
      <c r="C20" s="31" t="s">
        <v>42</v>
      </c>
      <c r="D20" s="33" t="s">
        <v>50</v>
      </c>
      <c r="E20" s="33" t="s">
        <v>51</v>
      </c>
      <c r="F20" s="33" t="s">
        <v>52</v>
      </c>
      <c r="G20" s="31" t="s">
        <v>40</v>
      </c>
      <c r="H20" s="31" t="s">
        <v>41</v>
      </c>
      <c r="J20" s="26" t="str">
        <f>B20</f>
        <v>AUG'22</v>
      </c>
      <c r="K20" s="31" t="s">
        <v>42</v>
      </c>
      <c r="L20" s="33" t="s">
        <v>50</v>
      </c>
      <c r="M20" s="33" t="s">
        <v>51</v>
      </c>
      <c r="N20" s="33" t="s">
        <v>52</v>
      </c>
      <c r="O20" s="31" t="s">
        <v>40</v>
      </c>
      <c r="P20" s="31" t="s">
        <v>41</v>
      </c>
    </row>
    <row r="21" spans="2:16" ht="12.75" customHeight="1" x14ac:dyDescent="0.25">
      <c r="B21"/>
      <c r="C21" s="6" t="s">
        <v>43</v>
      </c>
      <c r="D21" s="219"/>
      <c r="E21" s="219"/>
      <c r="F21" s="34">
        <v>208</v>
      </c>
      <c r="G21" s="219"/>
      <c r="H21" s="34">
        <v>192</v>
      </c>
      <c r="J21"/>
      <c r="K21" s="6" t="s">
        <v>43</v>
      </c>
      <c r="L21" s="220"/>
      <c r="M21" s="220"/>
      <c r="N21" s="38">
        <v>191370.1</v>
      </c>
      <c r="O21" s="220"/>
      <c r="P21" s="38">
        <v>180060.92</v>
      </c>
    </row>
    <row r="22" spans="2:16" ht="15" x14ac:dyDescent="0.25">
      <c r="B22"/>
      <c r="C22" s="6" t="s">
        <v>44</v>
      </c>
      <c r="D22" s="34">
        <v>31</v>
      </c>
      <c r="E22" s="34">
        <v>1658</v>
      </c>
      <c r="F22" s="219"/>
      <c r="G22" s="34">
        <v>474</v>
      </c>
      <c r="H22" s="219"/>
      <c r="J22"/>
      <c r="K22" s="6" t="s">
        <v>44</v>
      </c>
      <c r="L22" s="38">
        <v>3100</v>
      </c>
      <c r="M22" s="38">
        <v>553372.5</v>
      </c>
      <c r="N22" s="220"/>
      <c r="O22" s="38">
        <v>169007.04</v>
      </c>
      <c r="P22" s="220"/>
    </row>
    <row r="23" spans="2:16" ht="15.75" thickBot="1" x14ac:dyDescent="0.3">
      <c r="B23"/>
      <c r="C23" s="8" t="s">
        <v>45</v>
      </c>
      <c r="D23" s="36"/>
      <c r="E23" s="36"/>
      <c r="F23" s="36">
        <v>3</v>
      </c>
      <c r="G23" s="36"/>
      <c r="H23" s="36">
        <v>189</v>
      </c>
      <c r="J23"/>
      <c r="K23" s="8" t="s">
        <v>45</v>
      </c>
      <c r="L23" s="39"/>
      <c r="M23" s="39"/>
      <c r="N23" s="39">
        <v>2008.5</v>
      </c>
      <c r="O23" s="39"/>
      <c r="P23" s="39">
        <v>168112.96</v>
      </c>
    </row>
    <row r="24" spans="2:16" ht="15.75" thickTop="1" x14ac:dyDescent="0.25">
      <c r="B24"/>
      <c r="C24" s="35" t="s">
        <v>29</v>
      </c>
      <c r="D24" s="37">
        <f>SUM(D21:D23)</f>
        <v>31</v>
      </c>
      <c r="E24" s="37">
        <f t="shared" ref="E24:H24" si="2">SUM(E21:E23)</f>
        <v>1658</v>
      </c>
      <c r="F24" s="37">
        <f t="shared" si="2"/>
        <v>211</v>
      </c>
      <c r="G24" s="37">
        <f t="shared" si="2"/>
        <v>474</v>
      </c>
      <c r="H24" s="37">
        <f t="shared" si="2"/>
        <v>381</v>
      </c>
      <c r="J24"/>
      <c r="K24" s="35" t="s">
        <v>29</v>
      </c>
      <c r="L24" s="40">
        <f>SUM(L21:L23)</f>
        <v>3100</v>
      </c>
      <c r="M24" s="40">
        <f t="shared" ref="M24:P24" si="3">SUM(M21:M23)</f>
        <v>553372.5</v>
      </c>
      <c r="N24" s="40">
        <f t="shared" si="3"/>
        <v>193378.6</v>
      </c>
      <c r="O24" s="40">
        <f t="shared" si="3"/>
        <v>169007.04</v>
      </c>
      <c r="P24" s="40">
        <f t="shared" si="3"/>
        <v>348173.88</v>
      </c>
    </row>
    <row r="25" spans="2:16" ht="15" x14ac:dyDescent="0.25">
      <c r="B25"/>
      <c r="C25"/>
      <c r="D25"/>
      <c r="E25"/>
      <c r="F25"/>
      <c r="G25"/>
      <c r="H25"/>
      <c r="J25"/>
      <c r="K25"/>
      <c r="L25"/>
      <c r="M25"/>
    </row>
    <row r="26" spans="2:16" x14ac:dyDescent="0.2">
      <c r="C26" s="30"/>
      <c r="D26" s="26" t="s">
        <v>49</v>
      </c>
      <c r="E26" s="26"/>
      <c r="F26" s="26"/>
      <c r="G26" s="26"/>
      <c r="H26" s="26"/>
      <c r="K26" s="30"/>
      <c r="L26" s="26" t="s">
        <v>70</v>
      </c>
      <c r="M26" s="26"/>
      <c r="N26" s="26"/>
      <c r="O26" s="26"/>
      <c r="P26" s="26"/>
    </row>
    <row r="27" spans="2:16" x14ac:dyDescent="0.2">
      <c r="B27" s="26" t="s">
        <v>271</v>
      </c>
      <c r="C27" s="31" t="s">
        <v>42</v>
      </c>
      <c r="D27" s="33" t="s">
        <v>50</v>
      </c>
      <c r="E27" s="33" t="s">
        <v>51</v>
      </c>
      <c r="F27" s="33" t="s">
        <v>52</v>
      </c>
      <c r="G27" s="31" t="s">
        <v>40</v>
      </c>
      <c r="H27" s="31" t="s">
        <v>41</v>
      </c>
      <c r="J27" s="26" t="str">
        <f>B27</f>
        <v>SEP'22</v>
      </c>
      <c r="K27" s="31" t="s">
        <v>42</v>
      </c>
      <c r="L27" s="33" t="s">
        <v>50</v>
      </c>
      <c r="M27" s="33" t="s">
        <v>51</v>
      </c>
      <c r="N27" s="33" t="s">
        <v>52</v>
      </c>
      <c r="O27" s="31" t="s">
        <v>40</v>
      </c>
      <c r="P27" s="31" t="s">
        <v>41</v>
      </c>
    </row>
    <row r="28" spans="2:16" ht="15" x14ac:dyDescent="0.25">
      <c r="B28"/>
      <c r="C28" s="6" t="s">
        <v>43</v>
      </c>
      <c r="D28" s="219"/>
      <c r="E28" s="219"/>
      <c r="F28" s="34">
        <v>103</v>
      </c>
      <c r="G28" s="219"/>
      <c r="H28" s="34">
        <v>152</v>
      </c>
      <c r="J28"/>
      <c r="K28" s="6" t="s">
        <v>43</v>
      </c>
      <c r="L28" s="220"/>
      <c r="M28" s="220"/>
      <c r="N28" s="38">
        <v>90522.14</v>
      </c>
      <c r="O28" s="220"/>
      <c r="P28" s="38">
        <v>128526.34</v>
      </c>
    </row>
    <row r="29" spans="2:16" ht="15" x14ac:dyDescent="0.25">
      <c r="B29"/>
      <c r="C29" s="6" t="s">
        <v>44</v>
      </c>
      <c r="D29" s="34">
        <v>158</v>
      </c>
      <c r="E29" s="34">
        <v>1565</v>
      </c>
      <c r="F29" s="219"/>
      <c r="G29" s="34">
        <v>402</v>
      </c>
      <c r="H29" s="219"/>
      <c r="J29"/>
      <c r="K29" s="6" t="s">
        <v>44</v>
      </c>
      <c r="L29" s="38">
        <v>31600</v>
      </c>
      <c r="M29" s="38">
        <v>597307.5</v>
      </c>
      <c r="N29" s="220"/>
      <c r="O29" s="38">
        <v>140768.24</v>
      </c>
      <c r="P29" s="220"/>
    </row>
    <row r="30" spans="2:16" ht="15.75" thickBot="1" x14ac:dyDescent="0.3">
      <c r="B30"/>
      <c r="C30" s="8" t="s">
        <v>45</v>
      </c>
      <c r="D30" s="36"/>
      <c r="E30" s="36"/>
      <c r="F30" s="36"/>
      <c r="G30" s="36"/>
      <c r="H30" s="36">
        <v>117</v>
      </c>
      <c r="J30"/>
      <c r="K30" s="8" t="s">
        <v>45</v>
      </c>
      <c r="L30" s="39"/>
      <c r="M30" s="39"/>
      <c r="N30" s="39"/>
      <c r="O30" s="39"/>
      <c r="P30" s="39">
        <v>114577.92</v>
      </c>
    </row>
    <row r="31" spans="2:16" ht="15.75" thickTop="1" x14ac:dyDescent="0.25">
      <c r="B31"/>
      <c r="C31" s="35" t="s">
        <v>29</v>
      </c>
      <c r="D31" s="37">
        <f>SUM(D28:D30)</f>
        <v>158</v>
      </c>
      <c r="E31" s="37">
        <f t="shared" ref="E31:H31" si="4">SUM(E28:E30)</f>
        <v>1565</v>
      </c>
      <c r="F31" s="37">
        <f t="shared" si="4"/>
        <v>103</v>
      </c>
      <c r="G31" s="37">
        <f t="shared" si="4"/>
        <v>402</v>
      </c>
      <c r="H31" s="37">
        <f t="shared" si="4"/>
        <v>269</v>
      </c>
      <c r="J31"/>
      <c r="K31" s="35" t="s">
        <v>29</v>
      </c>
      <c r="L31" s="40">
        <f>SUM(L28:L30)</f>
        <v>31600</v>
      </c>
      <c r="M31" s="40">
        <f t="shared" ref="M31:P31" si="5">SUM(M28:M30)</f>
        <v>597307.5</v>
      </c>
      <c r="N31" s="40">
        <f t="shared" si="5"/>
        <v>90522.14</v>
      </c>
      <c r="O31" s="40">
        <f t="shared" si="5"/>
        <v>140768.24</v>
      </c>
      <c r="P31" s="40">
        <f t="shared" si="5"/>
        <v>243104.26</v>
      </c>
    </row>
    <row r="32" spans="2:16" ht="15" x14ac:dyDescent="0.25">
      <c r="B32"/>
      <c r="C32"/>
      <c r="D32"/>
      <c r="E32"/>
      <c r="F32"/>
      <c r="G32"/>
      <c r="H32"/>
      <c r="J32"/>
      <c r="K32"/>
      <c r="L32"/>
      <c r="M32"/>
    </row>
    <row r="33" spans="2:16" x14ac:dyDescent="0.2">
      <c r="C33" s="30"/>
      <c r="D33" s="26" t="s">
        <v>49</v>
      </c>
      <c r="E33" s="26"/>
      <c r="F33" s="26"/>
      <c r="G33" s="26"/>
      <c r="H33" s="26"/>
      <c r="K33" s="30"/>
      <c r="L33" s="26" t="s">
        <v>70</v>
      </c>
      <c r="M33" s="26"/>
      <c r="N33" s="26"/>
      <c r="O33" s="26"/>
      <c r="P33" s="26"/>
    </row>
    <row r="34" spans="2:16" x14ac:dyDescent="0.2">
      <c r="B34" s="26" t="s">
        <v>272</v>
      </c>
      <c r="C34" s="31" t="s">
        <v>42</v>
      </c>
      <c r="D34" s="33" t="s">
        <v>50</v>
      </c>
      <c r="E34" s="33" t="s">
        <v>51</v>
      </c>
      <c r="F34" s="33" t="s">
        <v>52</v>
      </c>
      <c r="G34" s="31" t="s">
        <v>40</v>
      </c>
      <c r="H34" s="31" t="s">
        <v>41</v>
      </c>
      <c r="J34" s="26" t="str">
        <f>B34</f>
        <v>OCT'22</v>
      </c>
      <c r="K34" s="31" t="s">
        <v>42</v>
      </c>
      <c r="L34" s="33" t="s">
        <v>50</v>
      </c>
      <c r="M34" s="33" t="s">
        <v>51</v>
      </c>
      <c r="N34" s="33" t="s">
        <v>52</v>
      </c>
      <c r="O34" s="31" t="s">
        <v>40</v>
      </c>
      <c r="P34" s="31" t="s">
        <v>41</v>
      </c>
    </row>
    <row r="35" spans="2:16" ht="15" x14ac:dyDescent="0.25">
      <c r="B35"/>
      <c r="C35" s="6" t="s">
        <v>43</v>
      </c>
      <c r="D35" s="219"/>
      <c r="E35" s="219"/>
      <c r="F35" s="34">
        <v>113</v>
      </c>
      <c r="G35" s="219"/>
      <c r="H35" s="34">
        <v>180</v>
      </c>
      <c r="J35"/>
      <c r="K35" s="6" t="s">
        <v>43</v>
      </c>
      <c r="L35" s="220"/>
      <c r="M35" s="220"/>
      <c r="N35" s="38">
        <v>82740</v>
      </c>
      <c r="O35" s="220"/>
      <c r="P35" s="38">
        <v>173230.56</v>
      </c>
    </row>
    <row r="36" spans="2:16" ht="15" x14ac:dyDescent="0.25">
      <c r="B36"/>
      <c r="C36" s="6" t="s">
        <v>44</v>
      </c>
      <c r="D36" s="34">
        <v>235</v>
      </c>
      <c r="E36" s="34">
        <v>1679</v>
      </c>
      <c r="F36" s="219"/>
      <c r="G36" s="34">
        <v>482</v>
      </c>
      <c r="H36" s="219"/>
      <c r="J36"/>
      <c r="K36" s="6" t="s">
        <v>44</v>
      </c>
      <c r="L36" s="38">
        <v>48875</v>
      </c>
      <c r="M36" s="38">
        <v>653275</v>
      </c>
      <c r="N36" s="220"/>
      <c r="O36" s="38">
        <v>170886.96</v>
      </c>
      <c r="P36" s="220"/>
    </row>
    <row r="37" spans="2:16" ht="15.75" thickBot="1" x14ac:dyDescent="0.3">
      <c r="B37"/>
      <c r="C37" s="8" t="s">
        <v>45</v>
      </c>
      <c r="D37" s="36"/>
      <c r="E37" s="36"/>
      <c r="F37" s="36"/>
      <c r="G37" s="36"/>
      <c r="H37" s="36">
        <v>97</v>
      </c>
      <c r="J37"/>
      <c r="K37" s="8" t="s">
        <v>45</v>
      </c>
      <c r="L37" s="39"/>
      <c r="M37" s="39"/>
      <c r="N37" s="39"/>
      <c r="O37" s="39"/>
      <c r="P37" s="39">
        <v>92661.92</v>
      </c>
    </row>
    <row r="38" spans="2:16" ht="15.75" thickTop="1" x14ac:dyDescent="0.25">
      <c r="B38"/>
      <c r="C38" s="35" t="s">
        <v>29</v>
      </c>
      <c r="D38" s="37">
        <f>SUM(D35:D37)</f>
        <v>235</v>
      </c>
      <c r="E38" s="37">
        <f t="shared" ref="E38:H38" si="6">SUM(E35:E37)</f>
        <v>1679</v>
      </c>
      <c r="F38" s="37">
        <f t="shared" si="6"/>
        <v>113</v>
      </c>
      <c r="G38" s="37">
        <f t="shared" si="6"/>
        <v>482</v>
      </c>
      <c r="H38" s="37">
        <f t="shared" si="6"/>
        <v>277</v>
      </c>
      <c r="J38"/>
      <c r="K38" s="35" t="s">
        <v>29</v>
      </c>
      <c r="L38" s="40">
        <f>SUM(L35:L37)</f>
        <v>48875</v>
      </c>
      <c r="M38" s="40">
        <f t="shared" ref="M38:P38" si="7">SUM(M35:M37)</f>
        <v>653275</v>
      </c>
      <c r="N38" s="40">
        <f t="shared" si="7"/>
        <v>82740</v>
      </c>
      <c r="O38" s="40">
        <f t="shared" si="7"/>
        <v>170886.96</v>
      </c>
      <c r="P38" s="40">
        <f t="shared" si="7"/>
        <v>265892.47999999998</v>
      </c>
    </row>
    <row r="39" spans="2:16" ht="15" x14ac:dyDescent="0.25">
      <c r="B39"/>
      <c r="C39"/>
      <c r="D39"/>
      <c r="E39"/>
      <c r="F39"/>
      <c r="G39"/>
      <c r="H39"/>
      <c r="J39"/>
      <c r="K39"/>
      <c r="L39"/>
      <c r="M39"/>
    </row>
    <row r="40" spans="2:16" x14ac:dyDescent="0.2">
      <c r="C40" s="30"/>
      <c r="D40" s="26" t="s">
        <v>49</v>
      </c>
      <c r="E40" s="26"/>
      <c r="F40" s="26"/>
      <c r="G40" s="26"/>
      <c r="H40" s="26"/>
      <c r="K40" s="30"/>
      <c r="L40" s="26" t="s">
        <v>70</v>
      </c>
      <c r="M40" s="26"/>
      <c r="N40" s="26"/>
      <c r="O40" s="26"/>
      <c r="P40" s="26"/>
    </row>
    <row r="41" spans="2:16" x14ac:dyDescent="0.2">
      <c r="B41" s="26" t="s">
        <v>273</v>
      </c>
      <c r="C41" s="31" t="s">
        <v>42</v>
      </c>
      <c r="D41" s="33" t="s">
        <v>50</v>
      </c>
      <c r="E41" s="33" t="s">
        <v>51</v>
      </c>
      <c r="F41" s="33" t="s">
        <v>52</v>
      </c>
      <c r="G41" s="31" t="s">
        <v>40</v>
      </c>
      <c r="H41" s="31" t="s">
        <v>41</v>
      </c>
      <c r="J41" s="26" t="str">
        <f>B41</f>
        <v>NOV'22</v>
      </c>
      <c r="K41" s="31" t="s">
        <v>42</v>
      </c>
      <c r="L41" s="33" t="s">
        <v>50</v>
      </c>
      <c r="M41" s="33" t="s">
        <v>51</v>
      </c>
      <c r="N41" s="33" t="s">
        <v>52</v>
      </c>
      <c r="O41" s="31" t="s">
        <v>40</v>
      </c>
      <c r="P41" s="31" t="s">
        <v>41</v>
      </c>
    </row>
    <row r="42" spans="2:16" ht="15" x14ac:dyDescent="0.25">
      <c r="B42"/>
      <c r="C42" s="6" t="s">
        <v>43</v>
      </c>
      <c r="D42" s="219"/>
      <c r="E42" s="219"/>
      <c r="F42" s="34">
        <v>132</v>
      </c>
      <c r="G42" s="219"/>
      <c r="H42" s="34">
        <v>160</v>
      </c>
      <c r="J42"/>
      <c r="K42" s="6" t="s">
        <v>43</v>
      </c>
      <c r="L42" s="220"/>
      <c r="M42" s="220"/>
      <c r="N42" s="38">
        <v>68044.28</v>
      </c>
      <c r="O42" s="220"/>
      <c r="P42" s="38">
        <v>147842.51</v>
      </c>
    </row>
    <row r="43" spans="2:16" ht="15" x14ac:dyDescent="0.25">
      <c r="B43"/>
      <c r="C43" s="6" t="s">
        <v>44</v>
      </c>
      <c r="D43" s="34">
        <v>269</v>
      </c>
      <c r="E43" s="34">
        <v>1718</v>
      </c>
      <c r="F43" s="219"/>
      <c r="G43" s="34">
        <v>500</v>
      </c>
      <c r="H43" s="219"/>
      <c r="J43"/>
      <c r="K43" s="6" t="s">
        <v>44</v>
      </c>
      <c r="L43" s="38">
        <v>58085</v>
      </c>
      <c r="M43" s="38">
        <v>735616.5</v>
      </c>
      <c r="N43" s="220"/>
      <c r="O43" s="38">
        <v>180716.92</v>
      </c>
      <c r="P43" s="220"/>
    </row>
    <row r="44" spans="2:16" ht="15.75" thickBot="1" x14ac:dyDescent="0.3">
      <c r="B44"/>
      <c r="C44" s="8" t="s">
        <v>45</v>
      </c>
      <c r="D44" s="36"/>
      <c r="E44" s="36"/>
      <c r="F44" s="36"/>
      <c r="G44" s="36"/>
      <c r="H44" s="36">
        <v>67</v>
      </c>
      <c r="J44"/>
      <c r="K44" s="8" t="s">
        <v>45</v>
      </c>
      <c r="L44" s="39"/>
      <c r="M44" s="39"/>
      <c r="N44" s="39"/>
      <c r="O44" s="39"/>
      <c r="P44" s="39">
        <v>59507.040000000001</v>
      </c>
    </row>
    <row r="45" spans="2:16" ht="15.75" thickTop="1" x14ac:dyDescent="0.25">
      <c r="B45"/>
      <c r="C45" s="35" t="s">
        <v>29</v>
      </c>
      <c r="D45" s="37">
        <f>SUM(D42:D44)</f>
        <v>269</v>
      </c>
      <c r="E45" s="37">
        <f t="shared" ref="E45:H45" si="8">SUM(E42:E44)</f>
        <v>1718</v>
      </c>
      <c r="F45" s="37">
        <f t="shared" si="8"/>
        <v>132</v>
      </c>
      <c r="G45" s="37">
        <f t="shared" si="8"/>
        <v>500</v>
      </c>
      <c r="H45" s="37">
        <f t="shared" si="8"/>
        <v>227</v>
      </c>
      <c r="J45"/>
      <c r="K45" s="35" t="s">
        <v>29</v>
      </c>
      <c r="L45" s="40">
        <f>SUM(L42:L44)</f>
        <v>58085</v>
      </c>
      <c r="M45" s="40">
        <f t="shared" ref="M45:P45" si="9">SUM(M42:M44)</f>
        <v>735616.5</v>
      </c>
      <c r="N45" s="40">
        <f t="shared" si="9"/>
        <v>68044.28</v>
      </c>
      <c r="O45" s="40">
        <f t="shared" si="9"/>
        <v>180716.92</v>
      </c>
      <c r="P45" s="40">
        <f t="shared" si="9"/>
        <v>207349.55000000002</v>
      </c>
    </row>
    <row r="46" spans="2:16" ht="15" x14ac:dyDescent="0.25">
      <c r="B46"/>
      <c r="C46"/>
      <c r="D46"/>
      <c r="E46"/>
      <c r="F46"/>
      <c r="G46"/>
      <c r="H46"/>
      <c r="J46"/>
      <c r="K46"/>
      <c r="L46"/>
      <c r="M46"/>
    </row>
    <row r="47" spans="2:16" x14ac:dyDescent="0.2">
      <c r="C47" s="30"/>
      <c r="D47" s="26" t="s">
        <v>49</v>
      </c>
      <c r="E47" s="26"/>
      <c r="F47" s="26"/>
      <c r="G47" s="26"/>
      <c r="H47" s="26"/>
      <c r="K47" s="30"/>
      <c r="L47" s="26" t="s">
        <v>70</v>
      </c>
      <c r="M47" s="26"/>
      <c r="N47" s="26"/>
      <c r="O47" s="26"/>
      <c r="P47" s="26"/>
    </row>
    <row r="48" spans="2:16" x14ac:dyDescent="0.2">
      <c r="B48" s="26" t="s">
        <v>274</v>
      </c>
      <c r="C48" s="31" t="s">
        <v>42</v>
      </c>
      <c r="D48" s="33" t="s">
        <v>50</v>
      </c>
      <c r="E48" s="33" t="s">
        <v>51</v>
      </c>
      <c r="F48" s="33" t="s">
        <v>52</v>
      </c>
      <c r="G48" s="31" t="s">
        <v>40</v>
      </c>
      <c r="H48" s="31" t="s">
        <v>41</v>
      </c>
      <c r="J48" s="26" t="str">
        <f>B48</f>
        <v>DEC'22</v>
      </c>
      <c r="K48" s="31" t="s">
        <v>42</v>
      </c>
      <c r="L48" s="33" t="s">
        <v>50</v>
      </c>
      <c r="M48" s="33" t="s">
        <v>51</v>
      </c>
      <c r="N48" s="33" t="s">
        <v>52</v>
      </c>
      <c r="O48" s="31" t="s">
        <v>40</v>
      </c>
      <c r="P48" s="31" t="s">
        <v>41</v>
      </c>
    </row>
    <row r="49" spans="2:16" ht="15" x14ac:dyDescent="0.25">
      <c r="B49"/>
      <c r="C49" s="6" t="s">
        <v>43</v>
      </c>
      <c r="D49" s="219"/>
      <c r="E49" s="219"/>
      <c r="F49" s="34">
        <v>114</v>
      </c>
      <c r="G49" s="219"/>
      <c r="H49" s="34">
        <v>183</v>
      </c>
      <c r="J49"/>
      <c r="K49" s="6" t="s">
        <v>43</v>
      </c>
      <c r="L49" s="220"/>
      <c r="M49" s="220"/>
      <c r="N49" s="38">
        <v>62550</v>
      </c>
      <c r="O49" s="220"/>
      <c r="P49" s="38">
        <v>163503.87</v>
      </c>
    </row>
    <row r="50" spans="2:16" ht="15" x14ac:dyDescent="0.25">
      <c r="B50"/>
      <c r="C50" s="6" t="s">
        <v>44</v>
      </c>
      <c r="D50" s="34">
        <v>146</v>
      </c>
      <c r="E50" s="34">
        <v>1509</v>
      </c>
      <c r="F50" s="219"/>
      <c r="G50" s="34">
        <v>448</v>
      </c>
      <c r="H50" s="219"/>
      <c r="J50"/>
      <c r="K50" s="6" t="s">
        <v>44</v>
      </c>
      <c r="L50" s="38">
        <v>35350</v>
      </c>
      <c r="M50" s="38">
        <v>722792</v>
      </c>
      <c r="N50" s="220"/>
      <c r="O50" s="38">
        <v>156727.6</v>
      </c>
      <c r="P50" s="220"/>
    </row>
    <row r="51" spans="2:16" ht="15.75" thickBot="1" x14ac:dyDescent="0.3">
      <c r="B51"/>
      <c r="C51" s="8" t="s">
        <v>45</v>
      </c>
      <c r="D51" s="36"/>
      <c r="E51" s="36"/>
      <c r="F51" s="36"/>
      <c r="G51" s="36"/>
      <c r="H51" s="36">
        <v>24</v>
      </c>
      <c r="J51"/>
      <c r="K51" s="8" t="s">
        <v>45</v>
      </c>
      <c r="L51" s="39"/>
      <c r="M51" s="39"/>
      <c r="N51" s="39"/>
      <c r="O51" s="39"/>
      <c r="P51" s="39">
        <v>22560</v>
      </c>
    </row>
    <row r="52" spans="2:16" ht="15.75" thickTop="1" x14ac:dyDescent="0.25">
      <c r="B52"/>
      <c r="C52" s="35" t="s">
        <v>29</v>
      </c>
      <c r="D52" s="37">
        <f>SUM(D49:D51)</f>
        <v>146</v>
      </c>
      <c r="E52" s="37">
        <f t="shared" ref="E52:H52" si="10">SUM(E49:E51)</f>
        <v>1509</v>
      </c>
      <c r="F52" s="37">
        <f t="shared" si="10"/>
        <v>114</v>
      </c>
      <c r="G52" s="37">
        <f t="shared" si="10"/>
        <v>448</v>
      </c>
      <c r="H52" s="37">
        <f t="shared" si="10"/>
        <v>207</v>
      </c>
      <c r="J52"/>
      <c r="K52" s="35" t="s">
        <v>29</v>
      </c>
      <c r="L52" s="40">
        <f>SUM(L49:L51)</f>
        <v>35350</v>
      </c>
      <c r="M52" s="40">
        <f t="shared" ref="M52:P52" si="11">SUM(M49:M51)</f>
        <v>722792</v>
      </c>
      <c r="N52" s="40">
        <f t="shared" si="11"/>
        <v>62550</v>
      </c>
      <c r="O52" s="40">
        <f t="shared" si="11"/>
        <v>156727.6</v>
      </c>
      <c r="P52" s="40">
        <f t="shared" si="11"/>
        <v>186063.87</v>
      </c>
    </row>
    <row r="53" spans="2:16" ht="15" x14ac:dyDescent="0.25">
      <c r="B53"/>
      <c r="C53" s="87"/>
      <c r="D53" s="88"/>
      <c r="E53" s="88"/>
      <c r="F53" s="88"/>
      <c r="G53" s="88"/>
      <c r="H53" s="88"/>
      <c r="J53"/>
      <c r="K53" s="87"/>
      <c r="L53" s="89"/>
      <c r="M53" s="89"/>
      <c r="N53" s="89"/>
      <c r="O53" s="89"/>
      <c r="P53" s="89"/>
    </row>
    <row r="54" spans="2:16" x14ac:dyDescent="0.2">
      <c r="C54" s="30"/>
      <c r="D54" s="26" t="s">
        <v>49</v>
      </c>
      <c r="E54" s="26"/>
      <c r="F54" s="26"/>
      <c r="G54" s="26"/>
      <c r="H54" s="26"/>
      <c r="K54" s="30"/>
      <c r="L54" s="26" t="s">
        <v>70</v>
      </c>
      <c r="M54" s="26"/>
      <c r="N54" s="26"/>
      <c r="O54" s="26"/>
      <c r="P54" s="26"/>
    </row>
    <row r="55" spans="2:16" x14ac:dyDescent="0.2">
      <c r="B55" s="26" t="s">
        <v>263</v>
      </c>
      <c r="C55" s="31" t="s">
        <v>42</v>
      </c>
      <c r="D55" s="33" t="s">
        <v>50</v>
      </c>
      <c r="E55" s="33" t="s">
        <v>51</v>
      </c>
      <c r="F55" s="33" t="s">
        <v>52</v>
      </c>
      <c r="G55" s="31" t="s">
        <v>40</v>
      </c>
      <c r="H55" s="31" t="s">
        <v>41</v>
      </c>
      <c r="J55" s="26" t="str">
        <f>B55</f>
        <v>JAN'23</v>
      </c>
      <c r="K55" s="31" t="s">
        <v>42</v>
      </c>
      <c r="L55" s="33" t="s">
        <v>50</v>
      </c>
      <c r="M55" s="33" t="s">
        <v>51</v>
      </c>
      <c r="N55" s="33" t="s">
        <v>52</v>
      </c>
      <c r="O55" s="31" t="s">
        <v>40</v>
      </c>
      <c r="P55" s="31" t="s">
        <v>41</v>
      </c>
    </row>
    <row r="56" spans="2:16" ht="15" x14ac:dyDescent="0.25">
      <c r="B56"/>
      <c r="C56" s="6" t="s">
        <v>43</v>
      </c>
      <c r="D56" s="219"/>
      <c r="E56" s="219"/>
      <c r="F56" s="34">
        <v>12</v>
      </c>
      <c r="G56" s="219"/>
      <c r="H56" s="34">
        <v>235</v>
      </c>
      <c r="J56"/>
      <c r="K56" s="6" t="s">
        <v>43</v>
      </c>
      <c r="L56" s="220"/>
      <c r="M56" s="220"/>
      <c r="N56" s="38">
        <v>7800</v>
      </c>
      <c r="O56" s="220"/>
      <c r="P56" s="38">
        <v>218227.28</v>
      </c>
    </row>
    <row r="57" spans="2:16" ht="15" x14ac:dyDescent="0.25">
      <c r="B57"/>
      <c r="C57" s="6" t="s">
        <v>44</v>
      </c>
      <c r="D57" s="34">
        <v>214</v>
      </c>
      <c r="E57" s="34">
        <v>1409</v>
      </c>
      <c r="F57" s="219"/>
      <c r="G57" s="34">
        <v>568</v>
      </c>
      <c r="H57" s="219"/>
      <c r="J57"/>
      <c r="K57" s="6" t="s">
        <v>44</v>
      </c>
      <c r="L57" s="38">
        <v>30065</v>
      </c>
      <c r="M57" s="38">
        <v>560419</v>
      </c>
      <c r="N57" s="220"/>
      <c r="O57" s="38">
        <v>200636.04</v>
      </c>
      <c r="P57" s="220"/>
    </row>
    <row r="58" spans="2:16" ht="15.75" thickBot="1" x14ac:dyDescent="0.3">
      <c r="B58"/>
      <c r="C58" s="8" t="s">
        <v>45</v>
      </c>
      <c r="D58" s="36"/>
      <c r="E58" s="36"/>
      <c r="F58" s="36"/>
      <c r="G58" s="36"/>
      <c r="H58" s="36">
        <v>25</v>
      </c>
      <c r="J58"/>
      <c r="K58" s="8" t="s">
        <v>45</v>
      </c>
      <c r="L58" s="39"/>
      <c r="M58" s="39"/>
      <c r="N58" s="39"/>
      <c r="O58" s="39"/>
      <c r="P58" s="39">
        <v>23148.639999999999</v>
      </c>
    </row>
    <row r="59" spans="2:16" ht="15.75" thickTop="1" x14ac:dyDescent="0.25">
      <c r="B59"/>
      <c r="C59" s="35" t="s">
        <v>29</v>
      </c>
      <c r="D59" s="37">
        <f>SUM(D56:D58)</f>
        <v>214</v>
      </c>
      <c r="E59" s="37">
        <f t="shared" ref="E59:H59" si="12">SUM(E56:E58)</f>
        <v>1409</v>
      </c>
      <c r="F59" s="37">
        <f t="shared" si="12"/>
        <v>12</v>
      </c>
      <c r="G59" s="37">
        <f t="shared" si="12"/>
        <v>568</v>
      </c>
      <c r="H59" s="37">
        <f t="shared" si="12"/>
        <v>260</v>
      </c>
      <c r="J59"/>
      <c r="K59" s="35" t="s">
        <v>29</v>
      </c>
      <c r="L59" s="40">
        <f>SUM(L56:L58)</f>
        <v>30065</v>
      </c>
      <c r="M59" s="40">
        <f t="shared" ref="M59:P59" si="13">SUM(M56:M58)</f>
        <v>560419</v>
      </c>
      <c r="N59" s="40">
        <f t="shared" si="13"/>
        <v>7800</v>
      </c>
      <c r="O59" s="40">
        <f t="shared" si="13"/>
        <v>200636.04</v>
      </c>
      <c r="P59" s="40">
        <f t="shared" si="13"/>
        <v>241375.91999999998</v>
      </c>
    </row>
    <row r="60" spans="2:16" ht="15" x14ac:dyDescent="0.25">
      <c r="B60"/>
      <c r="C60"/>
      <c r="D60"/>
      <c r="E60"/>
      <c r="F60"/>
      <c r="G60"/>
      <c r="H60"/>
      <c r="J60"/>
      <c r="K60"/>
    </row>
    <row r="61" spans="2:16" x14ac:dyDescent="0.2">
      <c r="C61" s="30"/>
      <c r="D61" s="26" t="s">
        <v>49</v>
      </c>
      <c r="E61" s="26"/>
      <c r="F61" s="26"/>
      <c r="G61" s="26"/>
      <c r="H61" s="26"/>
      <c r="K61" s="30"/>
      <c r="L61" s="26" t="s">
        <v>70</v>
      </c>
      <c r="M61" s="26"/>
      <c r="N61" s="26"/>
      <c r="O61" s="26"/>
      <c r="P61" s="26"/>
    </row>
    <row r="62" spans="2:16" x14ac:dyDescent="0.2">
      <c r="B62" s="26" t="s">
        <v>264</v>
      </c>
      <c r="C62" s="31" t="s">
        <v>42</v>
      </c>
      <c r="D62" s="33" t="s">
        <v>50</v>
      </c>
      <c r="E62" s="33" t="s">
        <v>51</v>
      </c>
      <c r="F62" s="33" t="s">
        <v>52</v>
      </c>
      <c r="G62" s="31" t="s">
        <v>40</v>
      </c>
      <c r="H62" s="31" t="s">
        <v>41</v>
      </c>
      <c r="J62" s="26" t="str">
        <f>B62</f>
        <v>FEB'23</v>
      </c>
      <c r="K62" s="31" t="s">
        <v>42</v>
      </c>
      <c r="L62" s="33" t="s">
        <v>50</v>
      </c>
      <c r="M62" s="33" t="s">
        <v>51</v>
      </c>
      <c r="N62" s="33" t="s">
        <v>52</v>
      </c>
      <c r="O62" s="31" t="s">
        <v>40</v>
      </c>
      <c r="P62" s="31" t="s">
        <v>41</v>
      </c>
    </row>
    <row r="63" spans="2:16" ht="15" x14ac:dyDescent="0.25">
      <c r="B63"/>
      <c r="C63" s="6" t="s">
        <v>43</v>
      </c>
      <c r="D63" s="219"/>
      <c r="E63" s="219"/>
      <c r="F63" s="34">
        <v>32</v>
      </c>
      <c r="G63" s="219"/>
      <c r="H63" s="34">
        <v>158</v>
      </c>
      <c r="J63"/>
      <c r="K63" s="6" t="s">
        <v>43</v>
      </c>
      <c r="L63" s="220"/>
      <c r="M63" s="220"/>
      <c r="N63" s="38">
        <v>20800</v>
      </c>
      <c r="O63" s="220"/>
      <c r="P63" s="38">
        <v>143395.48000000001</v>
      </c>
    </row>
    <row r="64" spans="2:16" ht="15" x14ac:dyDescent="0.25">
      <c r="B64"/>
      <c r="C64" s="6" t="s">
        <v>44</v>
      </c>
      <c r="D64" s="34">
        <v>161</v>
      </c>
      <c r="E64" s="34">
        <v>1377</v>
      </c>
      <c r="F64" s="219"/>
      <c r="G64" s="34">
        <v>484</v>
      </c>
      <c r="H64" s="219"/>
      <c r="J64"/>
      <c r="K64" s="6" t="s">
        <v>44</v>
      </c>
      <c r="L64" s="38">
        <v>18980</v>
      </c>
      <c r="M64" s="38">
        <v>548359.5</v>
      </c>
      <c r="N64" s="220"/>
      <c r="O64" s="38">
        <v>169830.64</v>
      </c>
      <c r="P64" s="220"/>
    </row>
    <row r="65" spans="2:16" ht="15.75" thickBot="1" x14ac:dyDescent="0.3">
      <c r="B65"/>
      <c r="C65" s="8" t="s">
        <v>45</v>
      </c>
      <c r="D65" s="36"/>
      <c r="E65" s="36"/>
      <c r="F65" s="36"/>
      <c r="G65" s="36"/>
      <c r="H65" s="36">
        <v>21</v>
      </c>
      <c r="J65"/>
      <c r="K65" s="8" t="s">
        <v>45</v>
      </c>
      <c r="L65" s="39"/>
      <c r="M65" s="39"/>
      <c r="N65" s="39"/>
      <c r="O65" s="39"/>
      <c r="P65" s="39">
        <v>19740</v>
      </c>
    </row>
    <row r="66" spans="2:16" ht="15.75" thickTop="1" x14ac:dyDescent="0.25">
      <c r="B66"/>
      <c r="C66" s="35" t="s">
        <v>29</v>
      </c>
      <c r="D66" s="37">
        <f>SUM(D63:D65)</f>
        <v>161</v>
      </c>
      <c r="E66" s="37">
        <f t="shared" ref="E66:H66" si="14">SUM(E63:E65)</f>
        <v>1377</v>
      </c>
      <c r="F66" s="37">
        <f t="shared" si="14"/>
        <v>32</v>
      </c>
      <c r="G66" s="37">
        <f t="shared" si="14"/>
        <v>484</v>
      </c>
      <c r="H66" s="37">
        <f t="shared" si="14"/>
        <v>179</v>
      </c>
      <c r="J66"/>
      <c r="K66" s="35" t="s">
        <v>29</v>
      </c>
      <c r="L66" s="40">
        <f>SUM(L63:L65)</f>
        <v>18980</v>
      </c>
      <c r="M66" s="40">
        <f t="shared" ref="M66" si="15">SUM(M63:M65)</f>
        <v>548359.5</v>
      </c>
      <c r="N66" s="40">
        <f t="shared" ref="N66" si="16">SUM(N63:N65)</f>
        <v>20800</v>
      </c>
      <c r="O66" s="40">
        <f t="shared" ref="O66" si="17">SUM(O63:O65)</f>
        <v>169830.64</v>
      </c>
      <c r="P66" s="40">
        <f t="shared" ref="P66" si="18">SUM(P63:P65)</f>
        <v>163135.48000000001</v>
      </c>
    </row>
    <row r="67" spans="2:16" ht="15" x14ac:dyDescent="0.25">
      <c r="B67"/>
      <c r="C67"/>
      <c r="D67"/>
      <c r="E67"/>
      <c r="F67"/>
      <c r="G67"/>
      <c r="H67"/>
      <c r="J67"/>
      <c r="K67"/>
    </row>
    <row r="68" spans="2:16" x14ac:dyDescent="0.2">
      <c r="C68" s="30"/>
      <c r="D68" s="26" t="s">
        <v>49</v>
      </c>
      <c r="E68" s="26"/>
      <c r="F68" s="26"/>
      <c r="G68" s="26"/>
      <c r="H68" s="26"/>
      <c r="K68" s="30"/>
      <c r="L68" s="26" t="s">
        <v>70</v>
      </c>
      <c r="M68" s="26"/>
      <c r="N68" s="26"/>
      <c r="O68" s="26"/>
      <c r="P68" s="26"/>
    </row>
    <row r="69" spans="2:16" x14ac:dyDescent="0.2">
      <c r="B69" s="26" t="s">
        <v>265</v>
      </c>
      <c r="C69" s="31" t="s">
        <v>42</v>
      </c>
      <c r="D69" s="33" t="s">
        <v>50</v>
      </c>
      <c r="E69" s="33" t="s">
        <v>51</v>
      </c>
      <c r="F69" s="33" t="s">
        <v>52</v>
      </c>
      <c r="G69" s="31" t="s">
        <v>40</v>
      </c>
      <c r="H69" s="31" t="s">
        <v>41</v>
      </c>
      <c r="J69" s="26" t="str">
        <f>B69</f>
        <v>MAR'23</v>
      </c>
      <c r="K69" s="31" t="s">
        <v>42</v>
      </c>
      <c r="L69" s="33" t="s">
        <v>50</v>
      </c>
      <c r="M69" s="33" t="s">
        <v>51</v>
      </c>
      <c r="N69" s="33" t="s">
        <v>52</v>
      </c>
      <c r="O69" s="31" t="s">
        <v>40</v>
      </c>
      <c r="P69" s="31" t="s">
        <v>41</v>
      </c>
    </row>
    <row r="70" spans="2:16" ht="12.75" customHeight="1" x14ac:dyDescent="0.25">
      <c r="B70"/>
      <c r="C70" s="6" t="s">
        <v>43</v>
      </c>
      <c r="D70" s="219"/>
      <c r="E70" s="219"/>
      <c r="F70" s="34">
        <v>23</v>
      </c>
      <c r="G70" s="219"/>
      <c r="H70" s="34">
        <v>107</v>
      </c>
      <c r="J70"/>
      <c r="K70" s="6" t="s">
        <v>43</v>
      </c>
      <c r="L70" s="220"/>
      <c r="M70" s="220"/>
      <c r="N70" s="38">
        <v>14950</v>
      </c>
      <c r="O70" s="220"/>
      <c r="P70" s="38">
        <v>100874.56</v>
      </c>
    </row>
    <row r="71" spans="2:16" ht="15" x14ac:dyDescent="0.25">
      <c r="B71"/>
      <c r="C71" s="6" t="s">
        <v>44</v>
      </c>
      <c r="D71" s="34">
        <v>148</v>
      </c>
      <c r="E71" s="34">
        <v>1708</v>
      </c>
      <c r="F71" s="219"/>
      <c r="G71" s="34">
        <v>614</v>
      </c>
      <c r="H71" s="219"/>
      <c r="J71"/>
      <c r="K71" s="6" t="s">
        <v>44</v>
      </c>
      <c r="L71" s="38">
        <v>15125</v>
      </c>
      <c r="M71" s="38">
        <v>713725</v>
      </c>
      <c r="N71" s="220"/>
      <c r="O71" s="38">
        <v>216570.92</v>
      </c>
      <c r="P71" s="220"/>
    </row>
    <row r="72" spans="2:16" ht="15.75" thickBot="1" x14ac:dyDescent="0.3">
      <c r="B72"/>
      <c r="C72" s="8" t="s">
        <v>45</v>
      </c>
      <c r="D72" s="36"/>
      <c r="E72" s="36"/>
      <c r="F72" s="36"/>
      <c r="G72" s="36"/>
      <c r="H72" s="36">
        <v>56</v>
      </c>
      <c r="J72"/>
      <c r="K72" s="8" t="s">
        <v>45</v>
      </c>
      <c r="L72" s="39"/>
      <c r="M72" s="39"/>
      <c r="N72" s="39"/>
      <c r="O72" s="39"/>
      <c r="P72" s="39">
        <v>52640</v>
      </c>
    </row>
    <row r="73" spans="2:16" ht="15.75" thickTop="1" x14ac:dyDescent="0.25">
      <c r="B73"/>
      <c r="C73" s="35" t="s">
        <v>29</v>
      </c>
      <c r="D73" s="37">
        <f>SUM(D70:D72)</f>
        <v>148</v>
      </c>
      <c r="E73" s="37">
        <f t="shared" ref="E73" si="19">SUM(E70:E72)</f>
        <v>1708</v>
      </c>
      <c r="F73" s="37">
        <f t="shared" ref="F73" si="20">SUM(F70:F72)</f>
        <v>23</v>
      </c>
      <c r="G73" s="37">
        <f t="shared" ref="G73" si="21">SUM(G70:G72)</f>
        <v>614</v>
      </c>
      <c r="H73" s="37">
        <f t="shared" ref="H73" si="22">SUM(H70:H72)</f>
        <v>163</v>
      </c>
      <c r="J73"/>
      <c r="K73" s="35" t="s">
        <v>29</v>
      </c>
      <c r="L73" s="40">
        <f>SUM(L70:L72)</f>
        <v>15125</v>
      </c>
      <c r="M73" s="40">
        <f t="shared" ref="M73" si="23">SUM(M70:M72)</f>
        <v>713725</v>
      </c>
      <c r="N73" s="40">
        <f t="shared" ref="N73" si="24">SUM(N70:N72)</f>
        <v>14950</v>
      </c>
      <c r="O73" s="40">
        <f t="shared" ref="O73" si="25">SUM(O70:O72)</f>
        <v>216570.92</v>
      </c>
      <c r="P73" s="40">
        <f t="shared" ref="P73" si="26">SUM(P70:P72)</f>
        <v>153514.56</v>
      </c>
    </row>
    <row r="74" spans="2:16" ht="15" x14ac:dyDescent="0.25">
      <c r="B74"/>
      <c r="C74"/>
      <c r="D74"/>
      <c r="E74"/>
      <c r="F74"/>
      <c r="G74"/>
      <c r="H74"/>
      <c r="J74"/>
      <c r="K74"/>
      <c r="L74"/>
      <c r="M74"/>
    </row>
    <row r="75" spans="2:16" x14ac:dyDescent="0.2">
      <c r="C75" s="30"/>
      <c r="D75" s="26" t="s">
        <v>49</v>
      </c>
      <c r="E75" s="26"/>
      <c r="F75" s="26"/>
      <c r="G75" s="26"/>
      <c r="H75" s="26"/>
      <c r="K75" s="30"/>
      <c r="L75" s="26" t="s">
        <v>70</v>
      </c>
      <c r="M75" s="26"/>
      <c r="N75" s="26"/>
      <c r="O75" s="26"/>
      <c r="P75" s="26"/>
    </row>
    <row r="76" spans="2:16" x14ac:dyDescent="0.2">
      <c r="B76" s="26" t="s">
        <v>266</v>
      </c>
      <c r="C76" s="31" t="s">
        <v>42</v>
      </c>
      <c r="D76" s="33" t="s">
        <v>50</v>
      </c>
      <c r="E76" s="33" t="s">
        <v>51</v>
      </c>
      <c r="F76" s="33" t="s">
        <v>52</v>
      </c>
      <c r="G76" s="31" t="s">
        <v>40</v>
      </c>
      <c r="H76" s="31" t="s">
        <v>41</v>
      </c>
      <c r="J76" s="26" t="str">
        <f>B76</f>
        <v>APR'23</v>
      </c>
      <c r="K76" s="31" t="s">
        <v>42</v>
      </c>
      <c r="L76" s="33" t="s">
        <v>50</v>
      </c>
      <c r="M76" s="33" t="s">
        <v>51</v>
      </c>
      <c r="N76" s="33" t="s">
        <v>52</v>
      </c>
      <c r="O76" s="31" t="s">
        <v>40</v>
      </c>
      <c r="P76" s="31" t="s">
        <v>41</v>
      </c>
    </row>
    <row r="77" spans="2:16" ht="15" x14ac:dyDescent="0.25">
      <c r="B77"/>
      <c r="C77" s="6" t="s">
        <v>43</v>
      </c>
      <c r="D77" s="219"/>
      <c r="E77" s="219"/>
      <c r="F77" s="34">
        <v>12</v>
      </c>
      <c r="G77" s="219"/>
      <c r="H77" s="34">
        <v>124</v>
      </c>
      <c r="J77"/>
      <c r="K77" s="6" t="s">
        <v>43</v>
      </c>
      <c r="L77" s="220"/>
      <c r="M77" s="220"/>
      <c r="N77" s="38">
        <v>6862.14</v>
      </c>
      <c r="O77" s="220"/>
      <c r="P77" s="38">
        <v>116431.33</v>
      </c>
    </row>
    <row r="78" spans="2:16" ht="15" x14ac:dyDescent="0.25">
      <c r="B78"/>
      <c r="C78" s="6" t="s">
        <v>44</v>
      </c>
      <c r="D78" s="34">
        <v>95</v>
      </c>
      <c r="E78" s="34">
        <v>1505</v>
      </c>
      <c r="F78" s="219"/>
      <c r="G78" s="34">
        <v>520</v>
      </c>
      <c r="H78" s="219"/>
      <c r="J78"/>
      <c r="K78" s="6" t="s">
        <v>44</v>
      </c>
      <c r="L78" s="38">
        <v>10000</v>
      </c>
      <c r="M78" s="38">
        <v>618400</v>
      </c>
      <c r="N78" s="220"/>
      <c r="O78" s="38">
        <v>175796.4</v>
      </c>
      <c r="P78" s="220"/>
    </row>
    <row r="79" spans="2:16" ht="15.75" thickBot="1" x14ac:dyDescent="0.3">
      <c r="B79"/>
      <c r="C79" s="8" t="s">
        <v>45</v>
      </c>
      <c r="D79" s="36"/>
      <c r="E79" s="36"/>
      <c r="F79" s="36"/>
      <c r="G79" s="36"/>
      <c r="H79" s="36">
        <v>39</v>
      </c>
      <c r="J79"/>
      <c r="K79" s="8" t="s">
        <v>45</v>
      </c>
      <c r="L79" s="39"/>
      <c r="M79" s="39"/>
      <c r="N79" s="39"/>
      <c r="O79" s="39"/>
      <c r="P79" s="39">
        <v>36660</v>
      </c>
    </row>
    <row r="80" spans="2:16" ht="15.75" thickTop="1" x14ac:dyDescent="0.25">
      <c r="B80"/>
      <c r="C80" s="35" t="s">
        <v>29</v>
      </c>
      <c r="D80" s="37">
        <f>SUM(D77:D79)</f>
        <v>95</v>
      </c>
      <c r="E80" s="37">
        <f t="shared" ref="E80" si="27">SUM(E77:E79)</f>
        <v>1505</v>
      </c>
      <c r="F80" s="37">
        <f t="shared" ref="F80" si="28">SUM(F77:F79)</f>
        <v>12</v>
      </c>
      <c r="G80" s="37">
        <f t="shared" ref="G80" si="29">SUM(G77:G79)</f>
        <v>520</v>
      </c>
      <c r="H80" s="37">
        <f t="shared" ref="H80" si="30">SUM(H77:H79)</f>
        <v>163</v>
      </c>
      <c r="J80"/>
      <c r="K80" s="35" t="s">
        <v>29</v>
      </c>
      <c r="L80" s="40">
        <f>SUM(L77:L79)</f>
        <v>10000</v>
      </c>
      <c r="M80" s="40">
        <f t="shared" ref="M80" si="31">SUM(M77:M79)</f>
        <v>618400</v>
      </c>
      <c r="N80" s="40">
        <f t="shared" ref="N80" si="32">SUM(N77:N79)</f>
        <v>6862.14</v>
      </c>
      <c r="O80" s="40">
        <f t="shared" ref="O80" si="33">SUM(O77:O79)</f>
        <v>175796.4</v>
      </c>
      <c r="P80" s="40">
        <f t="shared" ref="P80" si="34">SUM(P77:P79)</f>
        <v>153091.33000000002</v>
      </c>
    </row>
    <row r="81" spans="2:16" ht="15" x14ac:dyDescent="0.25">
      <c r="B81"/>
      <c r="C81"/>
      <c r="D81"/>
      <c r="E81"/>
      <c r="F81"/>
      <c r="G81"/>
      <c r="H81"/>
      <c r="J81"/>
      <c r="K81"/>
      <c r="L81"/>
      <c r="M81"/>
    </row>
    <row r="82" spans="2:16" x14ac:dyDescent="0.2">
      <c r="C82" s="30"/>
      <c r="D82" s="26" t="s">
        <v>49</v>
      </c>
      <c r="E82" s="26"/>
      <c r="F82" s="26"/>
      <c r="G82" s="26"/>
      <c r="H82" s="26"/>
      <c r="K82" s="30"/>
      <c r="L82" s="26" t="s">
        <v>70</v>
      </c>
      <c r="M82" s="26"/>
      <c r="N82" s="26"/>
      <c r="O82" s="26"/>
      <c r="P82" s="26"/>
    </row>
    <row r="83" spans="2:16" x14ac:dyDescent="0.2">
      <c r="B83" s="26" t="s">
        <v>267</v>
      </c>
      <c r="C83" s="31" t="s">
        <v>42</v>
      </c>
      <c r="D83" s="33" t="s">
        <v>50</v>
      </c>
      <c r="E83" s="33" t="s">
        <v>51</v>
      </c>
      <c r="F83" s="33" t="s">
        <v>52</v>
      </c>
      <c r="G83" s="31" t="s">
        <v>40</v>
      </c>
      <c r="H83" s="31" t="s">
        <v>41</v>
      </c>
      <c r="J83" s="26" t="str">
        <f>B83</f>
        <v>MAY'23</v>
      </c>
      <c r="K83" s="31" t="s">
        <v>42</v>
      </c>
      <c r="L83" s="33" t="s">
        <v>50</v>
      </c>
      <c r="M83" s="33" t="s">
        <v>51</v>
      </c>
      <c r="N83" s="33" t="s">
        <v>52</v>
      </c>
      <c r="O83" s="31" t="s">
        <v>40</v>
      </c>
      <c r="P83" s="31" t="s">
        <v>41</v>
      </c>
    </row>
    <row r="84" spans="2:16" ht="15" x14ac:dyDescent="0.25">
      <c r="B84"/>
      <c r="C84" s="6" t="s">
        <v>43</v>
      </c>
      <c r="D84" s="219"/>
      <c r="E84" s="219"/>
      <c r="F84" s="34">
        <v>2</v>
      </c>
      <c r="G84" s="219"/>
      <c r="H84" s="34">
        <v>99</v>
      </c>
      <c r="J84"/>
      <c r="K84" s="6" t="s">
        <v>43</v>
      </c>
      <c r="L84" s="220"/>
      <c r="M84" s="220"/>
      <c r="N84" s="38">
        <v>1300</v>
      </c>
      <c r="O84" s="220"/>
      <c r="P84" s="38">
        <v>90140.97</v>
      </c>
    </row>
    <row r="85" spans="2:16" ht="15" x14ac:dyDescent="0.25">
      <c r="B85"/>
      <c r="C85" s="6" t="s">
        <v>44</v>
      </c>
      <c r="D85" s="34">
        <v>175</v>
      </c>
      <c r="E85" s="34">
        <v>1351</v>
      </c>
      <c r="F85" s="219"/>
      <c r="G85" s="34">
        <v>631</v>
      </c>
      <c r="H85" s="219"/>
      <c r="J85"/>
      <c r="K85" s="6" t="s">
        <v>44</v>
      </c>
      <c r="L85" s="38">
        <v>22835</v>
      </c>
      <c r="M85" s="38">
        <v>546168.5</v>
      </c>
      <c r="N85" s="220"/>
      <c r="O85" s="38">
        <v>216989</v>
      </c>
      <c r="P85" s="220"/>
    </row>
    <row r="86" spans="2:16" ht="15.75" thickBot="1" x14ac:dyDescent="0.3">
      <c r="B86"/>
      <c r="C86" s="8" t="s">
        <v>45</v>
      </c>
      <c r="D86" s="36"/>
      <c r="E86" s="36"/>
      <c r="F86" s="36"/>
      <c r="G86" s="36"/>
      <c r="H86" s="36">
        <v>44</v>
      </c>
      <c r="J86"/>
      <c r="K86" s="8" t="s">
        <v>45</v>
      </c>
      <c r="L86" s="39"/>
      <c r="M86" s="39"/>
      <c r="N86" s="39"/>
      <c r="O86" s="39"/>
      <c r="P86" s="39">
        <v>41360</v>
      </c>
    </row>
    <row r="87" spans="2:16" ht="15.75" thickTop="1" x14ac:dyDescent="0.25">
      <c r="B87"/>
      <c r="C87" s="35" t="s">
        <v>29</v>
      </c>
      <c r="D87" s="37">
        <f>SUM(D84:D86)</f>
        <v>175</v>
      </c>
      <c r="E87" s="37">
        <f t="shared" ref="E87" si="35">SUM(E84:E86)</f>
        <v>1351</v>
      </c>
      <c r="F87" s="37">
        <f t="shared" ref="F87" si="36">SUM(F84:F86)</f>
        <v>2</v>
      </c>
      <c r="G87" s="37">
        <f t="shared" ref="G87" si="37">SUM(G84:G86)</f>
        <v>631</v>
      </c>
      <c r="H87" s="37">
        <f t="shared" ref="H87" si="38">SUM(H84:H86)</f>
        <v>143</v>
      </c>
      <c r="J87"/>
      <c r="K87" s="35" t="s">
        <v>29</v>
      </c>
      <c r="L87" s="40">
        <f>SUM(L84:L86)</f>
        <v>22835</v>
      </c>
      <c r="M87" s="40">
        <f t="shared" ref="M87" si="39">SUM(M84:M86)</f>
        <v>546168.5</v>
      </c>
      <c r="N87" s="40">
        <f t="shared" ref="N87" si="40">SUM(N84:N86)</f>
        <v>1300</v>
      </c>
      <c r="O87" s="40">
        <f t="shared" ref="O87" si="41">SUM(O84:O86)</f>
        <v>216989</v>
      </c>
      <c r="P87" s="40">
        <f t="shared" ref="P87" si="42">SUM(P84:P86)</f>
        <v>131500.97</v>
      </c>
    </row>
    <row r="88" spans="2:16" ht="15" x14ac:dyDescent="0.25">
      <c r="B88"/>
      <c r="C88"/>
      <c r="D88"/>
      <c r="E88"/>
      <c r="F88"/>
      <c r="G88"/>
      <c r="H88"/>
      <c r="J88"/>
      <c r="K88"/>
      <c r="L88"/>
      <c r="M88"/>
    </row>
    <row r="89" spans="2:16" x14ac:dyDescent="0.2">
      <c r="C89" s="30"/>
      <c r="D89" s="26" t="s">
        <v>49</v>
      </c>
      <c r="E89" s="26"/>
      <c r="F89" s="26"/>
      <c r="G89" s="26"/>
      <c r="H89" s="26"/>
      <c r="K89" s="30"/>
      <c r="L89" s="26" t="s">
        <v>70</v>
      </c>
      <c r="M89" s="26"/>
      <c r="N89" s="26"/>
      <c r="O89" s="26"/>
      <c r="P89" s="26"/>
    </row>
    <row r="90" spans="2:16" x14ac:dyDescent="0.2">
      <c r="B90" s="26" t="s">
        <v>268</v>
      </c>
      <c r="C90" s="31" t="s">
        <v>42</v>
      </c>
      <c r="D90" s="33" t="s">
        <v>50</v>
      </c>
      <c r="E90" s="33" t="s">
        <v>51</v>
      </c>
      <c r="F90" s="33" t="s">
        <v>52</v>
      </c>
      <c r="G90" s="31" t="s">
        <v>40</v>
      </c>
      <c r="H90" s="31" t="s">
        <v>41</v>
      </c>
      <c r="J90" s="26" t="str">
        <f>B90</f>
        <v>JUN'23</v>
      </c>
      <c r="K90" s="31" t="s">
        <v>42</v>
      </c>
      <c r="L90" s="33" t="s">
        <v>50</v>
      </c>
      <c r="M90" s="33" t="s">
        <v>51</v>
      </c>
      <c r="N90" s="33" t="s">
        <v>52</v>
      </c>
      <c r="O90" s="31" t="s">
        <v>40</v>
      </c>
      <c r="P90" s="31" t="s">
        <v>41</v>
      </c>
    </row>
    <row r="91" spans="2:16" ht="15" x14ac:dyDescent="0.25">
      <c r="B91"/>
      <c r="C91" s="6" t="s">
        <v>43</v>
      </c>
      <c r="D91" s="219"/>
      <c r="E91" s="219"/>
      <c r="F91" s="34">
        <v>4</v>
      </c>
      <c r="G91" s="219"/>
      <c r="H91" s="34">
        <v>101</v>
      </c>
      <c r="J91"/>
      <c r="K91" s="6" t="s">
        <v>43</v>
      </c>
      <c r="L91" s="220"/>
      <c r="M91" s="220"/>
      <c r="N91" s="38">
        <v>2064.08</v>
      </c>
      <c r="O91" s="220"/>
      <c r="P91" s="38">
        <v>94946.46</v>
      </c>
    </row>
    <row r="92" spans="2:16" ht="15" x14ac:dyDescent="0.25">
      <c r="B92"/>
      <c r="C92" s="6" t="s">
        <v>44</v>
      </c>
      <c r="D92" s="34">
        <v>250</v>
      </c>
      <c r="E92" s="34">
        <v>1338</v>
      </c>
      <c r="F92" s="219"/>
      <c r="G92" s="34">
        <v>703</v>
      </c>
      <c r="H92" s="219"/>
      <c r="J92"/>
      <c r="K92" s="6" t="s">
        <v>44</v>
      </c>
      <c r="L92" s="38">
        <v>27935</v>
      </c>
      <c r="M92" s="38">
        <v>539441</v>
      </c>
      <c r="N92" s="220"/>
      <c r="O92" s="38">
        <v>245376.8</v>
      </c>
      <c r="P92" s="220"/>
    </row>
    <row r="93" spans="2:16" ht="15.75" thickBot="1" x14ac:dyDescent="0.3">
      <c r="B93"/>
      <c r="C93" s="8" t="s">
        <v>45</v>
      </c>
      <c r="D93" s="36"/>
      <c r="E93" s="36"/>
      <c r="F93" s="36"/>
      <c r="G93" s="36"/>
      <c r="H93" s="36">
        <v>63</v>
      </c>
      <c r="J93"/>
      <c r="K93" s="8" t="s">
        <v>45</v>
      </c>
      <c r="L93" s="39"/>
      <c r="M93" s="39"/>
      <c r="N93" s="39"/>
      <c r="O93" s="39"/>
      <c r="P93" s="39">
        <v>55895.88</v>
      </c>
    </row>
    <row r="94" spans="2:16" ht="15.75" thickTop="1" x14ac:dyDescent="0.25">
      <c r="B94"/>
      <c r="C94" s="35" t="s">
        <v>29</v>
      </c>
      <c r="D94" s="37">
        <f>SUM(D91:D93)</f>
        <v>250</v>
      </c>
      <c r="E94" s="37">
        <f t="shared" ref="E94" si="43">SUM(E91:E93)</f>
        <v>1338</v>
      </c>
      <c r="F94" s="37">
        <f t="shared" ref="F94" si="44">SUM(F91:F93)</f>
        <v>4</v>
      </c>
      <c r="G94" s="37">
        <f t="shared" ref="G94" si="45">SUM(G91:G93)</f>
        <v>703</v>
      </c>
      <c r="H94" s="37">
        <f t="shared" ref="H94" si="46">SUM(H91:H93)</f>
        <v>164</v>
      </c>
      <c r="J94"/>
      <c r="K94" s="35" t="s">
        <v>29</v>
      </c>
      <c r="L94" s="40">
        <f>SUM(L91:L93)</f>
        <v>27935</v>
      </c>
      <c r="M94" s="40">
        <f t="shared" ref="M94" si="47">SUM(M91:M93)</f>
        <v>539441</v>
      </c>
      <c r="N94" s="40">
        <f t="shared" ref="N94" si="48">SUM(N91:N93)</f>
        <v>2064.08</v>
      </c>
      <c r="O94" s="40">
        <f t="shared" ref="O94" si="49">SUM(O91:O93)</f>
        <v>245376.8</v>
      </c>
      <c r="P94" s="40">
        <f t="shared" ref="P94" si="50">SUM(P91:P93)</f>
        <v>150842.34</v>
      </c>
    </row>
    <row r="95" spans="2:16" ht="15" x14ac:dyDescent="0.25">
      <c r="B95"/>
      <c r="C95"/>
      <c r="D95"/>
      <c r="E95"/>
      <c r="F95"/>
      <c r="G95"/>
      <c r="H95"/>
      <c r="J95"/>
      <c r="K95"/>
      <c r="L95"/>
      <c r="M95"/>
    </row>
    <row r="96" spans="2:16" ht="15" x14ac:dyDescent="0.25">
      <c r="C96" s="222" t="s">
        <v>283</v>
      </c>
      <c r="D96" s="223">
        <f>D94+D87+D80+D73+D66+D59+D52+D45+D38+D31+D24+D17</f>
        <v>1959</v>
      </c>
      <c r="E96" s="223">
        <f t="shared" ref="E96:G96" si="51">E94+E87+E80+E73+E66+E59+E52+E45+E38+E31+E24+E17</f>
        <v>18502</v>
      </c>
      <c r="F96" s="223">
        <f t="shared" si="51"/>
        <v>948</v>
      </c>
      <c r="G96" s="223">
        <f t="shared" si="51"/>
        <v>6237</v>
      </c>
      <c r="H96" s="223">
        <f>H94+H87+H80+H73+H66+H59+H52+H45+H38+H31+H24+H17</f>
        <v>2659</v>
      </c>
      <c r="J96"/>
      <c r="K96" s="222" t="s">
        <v>283</v>
      </c>
      <c r="L96" s="224">
        <f>L94+L87+L80+L73+L66+L59+L52+L45+L38+L31+L24+L17</f>
        <v>313150</v>
      </c>
      <c r="M96" s="224">
        <f t="shared" ref="M96:O96" si="52">M94+M87+M80+M73+M66+M59+M52+M45+M38+M31+M24+M17</f>
        <v>7415491.5</v>
      </c>
      <c r="N96" s="224">
        <f t="shared" si="52"/>
        <v>722097.74</v>
      </c>
      <c r="O96" s="224">
        <f t="shared" si="52"/>
        <v>2189229.16</v>
      </c>
      <c r="P96" s="224">
        <f>P94+P87+P80+P73+P66+P59+P52+P45+P38+P31+P24+P17</f>
        <v>2451670.0299999998</v>
      </c>
    </row>
    <row r="97" spans="4:16" x14ac:dyDescent="0.2">
      <c r="D97" s="221"/>
      <c r="E97" s="221"/>
      <c r="F97" s="221"/>
      <c r="G97" s="221"/>
      <c r="H97" s="221"/>
      <c r="L97" s="221"/>
      <c r="M97" s="221"/>
      <c r="N97" s="221"/>
      <c r="O97" s="221"/>
      <c r="P97" s="221"/>
    </row>
  </sheetData>
  <protectedRanges>
    <protectedRange sqref="B39:G39 C46:G46 B67 B74:G74 B81:G81 B88:G88 B18 B25:G25 B32:G32" name="Range1"/>
  </protectedRanges>
  <printOptions horizontalCentered="1"/>
  <pageMargins left="0.5" right="0.5" top="0.5" bottom="0.5" header="0.3" footer="0.3"/>
  <pageSetup scale="67" fitToWidth="3" orientation="landscape" r:id="rId1"/>
  <headerFooter>
    <oddHeader>&amp;LCO HCPF - BH&amp;RDraft and Confidential</oddHeader>
    <oddFooter>&amp;L&amp;F | &amp;A&amp;R&amp;G</oddFooter>
  </headerFooter>
  <rowBreaks count="1" manualBreakCount="1">
    <brk id="53" min="1" max="15" man="1"/>
  </rowBreaks>
  <ignoredErrors>
    <ignoredError sqref="D62:F62 L62:N62 D69:F69 L69:N69 L76:N76 D76:F76 D83:F83 L83:N83 L90:N90 D90:F90"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showGridLines="0" zoomScaleNormal="100" zoomScaleSheetLayoutView="70" workbookViewId="0">
      <selection activeCell="D9" sqref="D9"/>
    </sheetView>
  </sheetViews>
  <sheetFormatPr defaultColWidth="8.7109375" defaultRowHeight="12.75" x14ac:dyDescent="0.2"/>
  <cols>
    <col min="1" max="1" width="2.28515625" style="5" customWidth="1"/>
    <col min="2" max="2" width="12.5703125" style="5" customWidth="1"/>
    <col min="3" max="3" width="21.28515625" style="5" customWidth="1"/>
    <col min="4" max="4" width="13.7109375" style="5" customWidth="1"/>
    <col min="5" max="5" width="12.28515625" style="5" customWidth="1"/>
    <col min="6" max="6" width="10.42578125" style="5" customWidth="1"/>
    <col min="7" max="7" width="13.28515625" style="5" customWidth="1"/>
    <col min="8" max="8" width="11.28515625" style="5" customWidth="1"/>
    <col min="9" max="9" width="14.5703125" style="5" bestFit="1" customWidth="1"/>
    <col min="10" max="10" width="11" style="5" bestFit="1" customWidth="1"/>
    <col min="11" max="11" width="2.28515625" style="5" customWidth="1"/>
    <col min="12" max="12" width="18.28515625" style="5" bestFit="1" customWidth="1"/>
    <col min="13" max="18" width="14.7109375" style="5" customWidth="1"/>
    <col min="19" max="19" width="2.28515625" style="5" customWidth="1"/>
    <col min="20" max="20" width="11" style="5" bestFit="1" customWidth="1"/>
    <col min="21" max="21" width="18.28515625" style="5" bestFit="1" customWidth="1"/>
    <col min="22" max="27" width="13" style="5" customWidth="1"/>
    <col min="28" max="28" width="27.5703125" style="5" bestFit="1" customWidth="1"/>
    <col min="29" max="16384" width="8.7109375" style="5"/>
  </cols>
  <sheetData>
    <row r="2" spans="2:12" x14ac:dyDescent="0.2">
      <c r="B2" s="9" t="s">
        <v>69</v>
      </c>
      <c r="C2" s="10" t="str">
        <f>Overview!$C$11</f>
        <v>Rocky Mountain Health Plans</v>
      </c>
    </row>
    <row r="3" spans="2:12" x14ac:dyDescent="0.2">
      <c r="B3" s="9" t="s">
        <v>71</v>
      </c>
      <c r="C3" s="10" t="str">
        <f>Overview!C12</f>
        <v>Region 01</v>
      </c>
    </row>
    <row r="4" spans="2:12" x14ac:dyDescent="0.2">
      <c r="B4" s="9" t="s">
        <v>20</v>
      </c>
      <c r="C4" s="11" t="s">
        <v>125</v>
      </c>
    </row>
    <row r="5" spans="2:12" x14ac:dyDescent="0.2">
      <c r="B5" s="9" t="s">
        <v>21</v>
      </c>
      <c r="C5" s="10" t="str">
        <f>Overview!C13</f>
        <v>July 1, 2022 - June 30, 2023</v>
      </c>
    </row>
    <row r="6" spans="2:12" x14ac:dyDescent="0.2">
      <c r="B6" s="9"/>
      <c r="C6" s="10"/>
      <c r="L6" s="10"/>
    </row>
    <row r="7" spans="2:12" x14ac:dyDescent="0.2">
      <c r="C7" s="30"/>
      <c r="D7" s="26" t="s">
        <v>49</v>
      </c>
      <c r="E7" s="26"/>
      <c r="F7" s="26"/>
      <c r="G7" s="26"/>
      <c r="H7" s="26"/>
      <c r="I7" s="26"/>
    </row>
    <row r="8" spans="2:12" x14ac:dyDescent="0.2">
      <c r="B8" s="26" t="s">
        <v>29</v>
      </c>
      <c r="C8" s="31" t="s">
        <v>42</v>
      </c>
      <c r="D8" s="33" t="s">
        <v>50</v>
      </c>
      <c r="E8" s="33" t="s">
        <v>51</v>
      </c>
      <c r="F8" s="33" t="s">
        <v>52</v>
      </c>
      <c r="G8" s="31" t="s">
        <v>40</v>
      </c>
      <c r="H8" s="31" t="s">
        <v>41</v>
      </c>
      <c r="I8" s="31" t="s">
        <v>29</v>
      </c>
    </row>
    <row r="9" spans="2:12" ht="15" x14ac:dyDescent="0.25">
      <c r="B9"/>
      <c r="C9" s="6" t="s">
        <v>43</v>
      </c>
      <c r="D9" s="56">
        <f>SUM('Report 4A. SUD RC Data'!D14,'Report 4A. SUD RC Data'!D21,'Report 4A. SUD RC Data'!D28,'Report 4A. SUD RC Data'!D35,'Report 4A. SUD RC Data'!D42,'Report 4A. SUD RC Data'!D49,'Report 4A. SUD RC Data'!D56,'Report 4A. SUD RC Data'!D63,'Report 4A. SUD RC Data'!D70,'Report 4A. SUD RC Data'!D77,'Report 4A. SUD RC Data'!D84,'Report 4A. SUD RC Data'!D91)</f>
        <v>0</v>
      </c>
      <c r="E9" s="56">
        <f>SUM('Report 4A. SUD RC Data'!E14,'Report 4A. SUD RC Data'!E21,'Report 4A. SUD RC Data'!E28,'Report 4A. SUD RC Data'!E35,'Report 4A. SUD RC Data'!E42,'Report 4A. SUD RC Data'!E49,'Report 4A. SUD RC Data'!E56,'Report 4A. SUD RC Data'!E63,'Report 4A. SUD RC Data'!E70,'Report 4A. SUD RC Data'!E77,'Report 4A. SUD RC Data'!E84,'Report 4A. SUD RC Data'!E91)</f>
        <v>0</v>
      </c>
      <c r="F9" s="56">
        <f>SUM('Report 4A. SUD RC Data'!F14,'Report 4A. SUD RC Data'!F21,'Report 4A. SUD RC Data'!F28,'Report 4A. SUD RC Data'!F35,'Report 4A. SUD RC Data'!F42,'Report 4A. SUD RC Data'!F49,'Report 4A. SUD RC Data'!F56,'Report 4A. SUD RC Data'!F63,'Report 4A. SUD RC Data'!F70,'Report 4A. SUD RC Data'!F77,'Report 4A. SUD RC Data'!F84,'Report 4A. SUD RC Data'!F91)</f>
        <v>938</v>
      </c>
      <c r="G9" s="56">
        <f>SUM('Report 4A. SUD RC Data'!G14,'Report 4A. SUD RC Data'!G21,'Report 4A. SUD RC Data'!G28,'Report 4A. SUD RC Data'!G35,'Report 4A. SUD RC Data'!G42,'Report 4A. SUD RC Data'!G49,'Report 4A. SUD RC Data'!G56,'Report 4A. SUD RC Data'!G63,'Report 4A. SUD RC Data'!G70,'Report 4A. SUD RC Data'!G77,'Report 4A. SUD RC Data'!G84,'Report 4A. SUD RC Data'!G91)</f>
        <v>0</v>
      </c>
      <c r="H9" s="56">
        <f>SUM('Report 4A. SUD RC Data'!H14,'Report 4A. SUD RC Data'!H21,'Report 4A. SUD RC Data'!H28,'Report 4A. SUD RC Data'!H35,'Report 4A. SUD RC Data'!H42,'Report 4A. SUD RC Data'!H49,'Report 4A. SUD RC Data'!H56,'Report 4A. SUD RC Data'!H63,'Report 4A. SUD RC Data'!H70,'Report 4A. SUD RC Data'!H77,'Report 4A. SUD RC Data'!H84,'Report 4A. SUD RC Data'!H91)</f>
        <v>1825</v>
      </c>
      <c r="I9" s="56">
        <f>SUM(D9:H9)</f>
        <v>2763</v>
      </c>
    </row>
    <row r="10" spans="2:12" ht="15" x14ac:dyDescent="0.25">
      <c r="B10"/>
      <c r="C10" s="6" t="s">
        <v>44</v>
      </c>
      <c r="D10" s="56">
        <f>SUM('Report 4A. SUD RC Data'!D15,'Report 4A. SUD RC Data'!D22,'Report 4A. SUD RC Data'!D29,'Report 4A. SUD RC Data'!D36,'Report 4A. SUD RC Data'!D43,'Report 4A. SUD RC Data'!D50,'Report 4A. SUD RC Data'!D57,'Report 4A. SUD RC Data'!D64,'Report 4A. SUD RC Data'!D71,'Report 4A. SUD RC Data'!D78,'Report 4A. SUD RC Data'!D85,'Report 4A. SUD RC Data'!D92)</f>
        <v>1959</v>
      </c>
      <c r="E10" s="56">
        <f>SUM('Report 4A. SUD RC Data'!E15,'Report 4A. SUD RC Data'!E22,'Report 4A. SUD RC Data'!E29,'Report 4A. SUD RC Data'!E36,'Report 4A. SUD RC Data'!E43,'Report 4A. SUD RC Data'!E50,'Report 4A. SUD RC Data'!E57,'Report 4A. SUD RC Data'!E64,'Report 4A. SUD RC Data'!E71,'Report 4A. SUD RC Data'!E78,'Report 4A. SUD RC Data'!E85,'Report 4A. SUD RC Data'!E92)</f>
        <v>18502</v>
      </c>
      <c r="F10" s="56">
        <f>SUM('Report 4A. SUD RC Data'!F15,'Report 4A. SUD RC Data'!F22,'Report 4A. SUD RC Data'!F29,'Report 4A. SUD RC Data'!F36,'Report 4A. SUD RC Data'!F43,'Report 4A. SUD RC Data'!F50,'Report 4A. SUD RC Data'!F57,'Report 4A. SUD RC Data'!F64,'Report 4A. SUD RC Data'!F71,'Report 4A. SUD RC Data'!F78,'Report 4A. SUD RC Data'!F85,'Report 4A. SUD RC Data'!F92)</f>
        <v>0</v>
      </c>
      <c r="G10" s="56">
        <f>SUM('Report 4A. SUD RC Data'!G15,'Report 4A. SUD RC Data'!G22,'Report 4A. SUD RC Data'!G29,'Report 4A. SUD RC Data'!G36,'Report 4A. SUD RC Data'!G43,'Report 4A. SUD RC Data'!G50,'Report 4A. SUD RC Data'!G57,'Report 4A. SUD RC Data'!G64,'Report 4A. SUD RC Data'!G71,'Report 4A. SUD RC Data'!G78,'Report 4A. SUD RC Data'!G85,'Report 4A. SUD RC Data'!G92)</f>
        <v>6237</v>
      </c>
      <c r="H10" s="56">
        <f>SUM('Report 4A. SUD RC Data'!H15,'Report 4A. SUD RC Data'!H22,'Report 4A. SUD RC Data'!H29,'Report 4A. SUD RC Data'!H36,'Report 4A. SUD RC Data'!H43,'Report 4A. SUD RC Data'!H50,'Report 4A. SUD RC Data'!H57,'Report 4A. SUD RC Data'!H64,'Report 4A. SUD RC Data'!H71,'Report 4A. SUD RC Data'!H78,'Report 4A. SUD RC Data'!H85,'Report 4A. SUD RC Data'!H92)</f>
        <v>0</v>
      </c>
      <c r="I10" s="56">
        <f t="shared" ref="I10:I12" si="0">SUM(D10:H10)</f>
        <v>26698</v>
      </c>
    </row>
    <row r="11" spans="2:12" ht="15.75" thickBot="1" x14ac:dyDescent="0.3">
      <c r="B11"/>
      <c r="C11" s="8" t="s">
        <v>45</v>
      </c>
      <c r="D11" s="57">
        <f>SUM('Report 4A. SUD RC Data'!D16,'Report 4A. SUD RC Data'!D23,'Report 4A. SUD RC Data'!D30,'Report 4A. SUD RC Data'!D37,'Report 4A. SUD RC Data'!D44,'Report 4A. SUD RC Data'!D51,'Report 4A. SUD RC Data'!D58,'Report 4A. SUD RC Data'!D65,'Report 4A. SUD RC Data'!D72,'Report 4A. SUD RC Data'!D79,'Report 4A. SUD RC Data'!D86,'Report 4A. SUD RC Data'!D93)</f>
        <v>0</v>
      </c>
      <c r="E11" s="57">
        <f>SUM('Report 4A. SUD RC Data'!E16,'Report 4A. SUD RC Data'!E23,'Report 4A. SUD RC Data'!E30,'Report 4A. SUD RC Data'!E37,'Report 4A. SUD RC Data'!E44,'Report 4A. SUD RC Data'!E51,'Report 4A. SUD RC Data'!E58,'Report 4A. SUD RC Data'!E65,'Report 4A. SUD RC Data'!E72,'Report 4A. SUD RC Data'!E79,'Report 4A. SUD RC Data'!E86,'Report 4A. SUD RC Data'!E93)</f>
        <v>0</v>
      </c>
      <c r="F11" s="57">
        <f>SUM('Report 4A. SUD RC Data'!F16,'Report 4A. SUD RC Data'!F23,'Report 4A. SUD RC Data'!F30,'Report 4A. SUD RC Data'!F37,'Report 4A. SUD RC Data'!F44,'Report 4A. SUD RC Data'!F51,'Report 4A. SUD RC Data'!F58,'Report 4A. SUD RC Data'!F65,'Report 4A. SUD RC Data'!F72,'Report 4A. SUD RC Data'!F79,'Report 4A. SUD RC Data'!F86,'Report 4A. SUD RC Data'!F93)</f>
        <v>10</v>
      </c>
      <c r="G11" s="57">
        <f>SUM('Report 4A. SUD RC Data'!G16,'Report 4A. SUD RC Data'!G23,'Report 4A. SUD RC Data'!G30,'Report 4A. SUD RC Data'!G37,'Report 4A. SUD RC Data'!G44,'Report 4A. SUD RC Data'!G51,'Report 4A. SUD RC Data'!G58,'Report 4A. SUD RC Data'!G65,'Report 4A. SUD RC Data'!G72,'Report 4A. SUD RC Data'!G79,'Report 4A. SUD RC Data'!G86,'Report 4A. SUD RC Data'!G93)</f>
        <v>0</v>
      </c>
      <c r="H11" s="57">
        <f>SUM('Report 4A. SUD RC Data'!H16,'Report 4A. SUD RC Data'!H23,'Report 4A. SUD RC Data'!H30,'Report 4A. SUD RC Data'!H37,'Report 4A. SUD RC Data'!H44,'Report 4A. SUD RC Data'!H51,'Report 4A. SUD RC Data'!H58,'Report 4A. SUD RC Data'!H65,'Report 4A. SUD RC Data'!H72,'Report 4A. SUD RC Data'!H79,'Report 4A. SUD RC Data'!H86,'Report 4A. SUD RC Data'!H93)</f>
        <v>834</v>
      </c>
      <c r="I11" s="57">
        <f t="shared" si="0"/>
        <v>844</v>
      </c>
    </row>
    <row r="12" spans="2:12" ht="15.75" thickTop="1" x14ac:dyDescent="0.25">
      <c r="B12"/>
      <c r="C12" s="35" t="s">
        <v>29</v>
      </c>
      <c r="D12" s="58">
        <f>SUM(D9:D11)</f>
        <v>1959</v>
      </c>
      <c r="E12" s="58">
        <f t="shared" ref="E12:H12" si="1">SUM(E9:E11)</f>
        <v>18502</v>
      </c>
      <c r="F12" s="58">
        <f t="shared" si="1"/>
        <v>948</v>
      </c>
      <c r="G12" s="58">
        <f t="shared" si="1"/>
        <v>6237</v>
      </c>
      <c r="H12" s="58">
        <f t="shared" si="1"/>
        <v>2659</v>
      </c>
      <c r="I12" s="58">
        <f t="shared" si="0"/>
        <v>30305</v>
      </c>
    </row>
    <row r="13" spans="2:12" ht="15" x14ac:dyDescent="0.25">
      <c r="B13"/>
      <c r="C13"/>
      <c r="D13"/>
      <c r="E13"/>
      <c r="F13"/>
      <c r="G13"/>
      <c r="H13"/>
      <c r="I13"/>
      <c r="L13"/>
    </row>
    <row r="14" spans="2:12" ht="15" x14ac:dyDescent="0.25">
      <c r="C14" s="30"/>
      <c r="D14" s="26" t="s">
        <v>70</v>
      </c>
      <c r="E14" s="26"/>
      <c r="F14" s="26"/>
      <c r="G14" s="26"/>
      <c r="H14" s="26"/>
      <c r="I14" s="26"/>
      <c r="L14"/>
    </row>
    <row r="15" spans="2:12" ht="15" x14ac:dyDescent="0.25">
      <c r="B15" s="26" t="str">
        <f>B8</f>
        <v>Total</v>
      </c>
      <c r="C15" s="31" t="s">
        <v>42</v>
      </c>
      <c r="D15" s="33" t="s">
        <v>50</v>
      </c>
      <c r="E15" s="33" t="s">
        <v>51</v>
      </c>
      <c r="F15" s="33" t="s">
        <v>52</v>
      </c>
      <c r="G15" s="31" t="s">
        <v>40</v>
      </c>
      <c r="H15" s="31" t="s">
        <v>41</v>
      </c>
      <c r="I15" s="31" t="s">
        <v>29</v>
      </c>
      <c r="L15"/>
    </row>
    <row r="16" spans="2:12" ht="15" x14ac:dyDescent="0.25">
      <c r="B16"/>
      <c r="C16" s="6" t="s">
        <v>43</v>
      </c>
      <c r="D16" s="59">
        <f>SUM('Report 4A. SUD RC Data'!L14,'Report 4A. SUD RC Data'!L21,'Report 4A. SUD RC Data'!L28,'Report 4A. SUD RC Data'!L35,'Report 4A. SUD RC Data'!L42,'Report 4A. SUD RC Data'!L49,'Report 4A. SUD RC Data'!L56,'Report 4A. SUD RC Data'!L63,'Report 4A. SUD RC Data'!L70,'Report 4A. SUD RC Data'!L77,'Report 4A. SUD RC Data'!L84,'Report 4A. SUD RC Data'!L91)</f>
        <v>0</v>
      </c>
      <c r="E16" s="59">
        <f>SUM('Report 4A. SUD RC Data'!M14,'Report 4A. SUD RC Data'!M21,'Report 4A. SUD RC Data'!M28,'Report 4A. SUD RC Data'!M35,'Report 4A. SUD RC Data'!M42,'Report 4A. SUD RC Data'!M49,'Report 4A. SUD RC Data'!M56,'Report 4A. SUD RC Data'!M63,'Report 4A. SUD RC Data'!M70,'Report 4A. SUD RC Data'!M77,'Report 4A. SUD RC Data'!M84,'Report 4A. SUD RC Data'!M91)</f>
        <v>0</v>
      </c>
      <c r="F16" s="59">
        <f>SUM('Report 4A. SUD RC Data'!N14,'Report 4A. SUD RC Data'!N21,'Report 4A. SUD RC Data'!N28,'Report 4A. SUD RC Data'!N35,'Report 4A. SUD RC Data'!N42,'Report 4A. SUD RC Data'!N49,'Report 4A. SUD RC Data'!N56,'Report 4A. SUD RC Data'!N63,'Report 4A. SUD RC Data'!N70,'Report 4A. SUD RC Data'!N77,'Report 4A. SUD RC Data'!N84,'Report 4A. SUD RC Data'!N91)</f>
        <v>715402.74</v>
      </c>
      <c r="G16" s="59">
        <f>SUM('Report 4A. SUD RC Data'!O14,'Report 4A. SUD RC Data'!O21,'Report 4A. SUD RC Data'!O28,'Report 4A. SUD RC Data'!O35,'Report 4A. SUD RC Data'!O42,'Report 4A. SUD RC Data'!O49,'Report 4A. SUD RC Data'!O56,'Report 4A. SUD RC Data'!O63,'Report 4A. SUD RC Data'!O70,'Report 4A. SUD RC Data'!O77,'Report 4A. SUD RC Data'!O84,'Report 4A. SUD RC Data'!O91)</f>
        <v>0</v>
      </c>
      <c r="H16" s="59">
        <f>SUM('Report 4A. SUD RC Data'!P14,'Report 4A. SUD RC Data'!P21,'Report 4A. SUD RC Data'!P28,'Report 4A. SUD RC Data'!P35,'Report 4A. SUD RC Data'!P42,'Report 4A. SUD RC Data'!P49,'Report 4A. SUD RC Data'!P56,'Report 4A. SUD RC Data'!P63,'Report 4A. SUD RC Data'!P70,'Report 4A. SUD RC Data'!P77,'Report 4A. SUD RC Data'!P84,'Report 4A. SUD RC Data'!P91)</f>
        <v>1683114.15</v>
      </c>
      <c r="I16" s="59">
        <f>SUM(D16:H16)</f>
        <v>2398516.8899999997</v>
      </c>
      <c r="L16"/>
    </row>
    <row r="17" spans="2:14" ht="15" x14ac:dyDescent="0.25">
      <c r="B17"/>
      <c r="C17" s="6" t="s">
        <v>44</v>
      </c>
      <c r="D17" s="59">
        <f>SUM('Report 4A. SUD RC Data'!L15,'Report 4A. SUD RC Data'!L22,'Report 4A. SUD RC Data'!L29,'Report 4A. SUD RC Data'!L36,'Report 4A. SUD RC Data'!L43,'Report 4A. SUD RC Data'!L50,'Report 4A. SUD RC Data'!L57,'Report 4A. SUD RC Data'!L64,'Report 4A. SUD RC Data'!L71,'Report 4A. SUD RC Data'!L78,'Report 4A. SUD RC Data'!L85,'Report 4A. SUD RC Data'!L92)</f>
        <v>313150</v>
      </c>
      <c r="E17" s="59">
        <f>SUM('Report 4A. SUD RC Data'!M15,'Report 4A. SUD RC Data'!M22,'Report 4A. SUD RC Data'!M29,'Report 4A. SUD RC Data'!M36,'Report 4A. SUD RC Data'!M43,'Report 4A. SUD RC Data'!M50,'Report 4A. SUD RC Data'!M57,'Report 4A. SUD RC Data'!M64,'Report 4A. SUD RC Data'!M71,'Report 4A. SUD RC Data'!M78,'Report 4A. SUD RC Data'!M85,'Report 4A. SUD RC Data'!M92)</f>
        <v>7415491.5</v>
      </c>
      <c r="F17" s="59">
        <f>SUM('Report 4A. SUD RC Data'!N15,'Report 4A. SUD RC Data'!N22,'Report 4A. SUD RC Data'!N29,'Report 4A. SUD RC Data'!N36,'Report 4A. SUD RC Data'!N43,'Report 4A. SUD RC Data'!N50,'Report 4A. SUD RC Data'!N57,'Report 4A. SUD RC Data'!N64,'Report 4A. SUD RC Data'!N71,'Report 4A. SUD RC Data'!N78,'Report 4A. SUD RC Data'!N85,'Report 4A. SUD RC Data'!N92)</f>
        <v>0</v>
      </c>
      <c r="G17" s="59">
        <f>SUM('Report 4A. SUD RC Data'!O15,'Report 4A. SUD RC Data'!O22,'Report 4A. SUD RC Data'!O29,'Report 4A. SUD RC Data'!O36,'Report 4A. SUD RC Data'!O43,'Report 4A. SUD RC Data'!O50,'Report 4A. SUD RC Data'!O57,'Report 4A. SUD RC Data'!O64,'Report 4A. SUD RC Data'!O71,'Report 4A. SUD RC Data'!O78,'Report 4A. SUD RC Data'!O85,'Report 4A. SUD RC Data'!O92)</f>
        <v>2189229.1599999997</v>
      </c>
      <c r="H17" s="59">
        <f>SUM('Report 4A. SUD RC Data'!P15,'Report 4A. SUD RC Data'!P22,'Report 4A. SUD RC Data'!P29,'Report 4A. SUD RC Data'!P36,'Report 4A. SUD RC Data'!P43,'Report 4A. SUD RC Data'!P50,'Report 4A. SUD RC Data'!P57,'Report 4A. SUD RC Data'!P64,'Report 4A. SUD RC Data'!P71,'Report 4A. SUD RC Data'!P78,'Report 4A. SUD RC Data'!P85,'Report 4A. SUD RC Data'!P92)</f>
        <v>0</v>
      </c>
      <c r="I17" s="59">
        <f t="shared" ref="I17:I19" si="2">SUM(D17:H17)</f>
        <v>9917870.6600000001</v>
      </c>
      <c r="L17"/>
    </row>
    <row r="18" spans="2:14" ht="15.75" thickBot="1" x14ac:dyDescent="0.3">
      <c r="B18"/>
      <c r="C18" s="8" t="s">
        <v>45</v>
      </c>
      <c r="D18" s="60">
        <f>SUM('Report 4A. SUD RC Data'!L16,'Report 4A. SUD RC Data'!L23,'Report 4A. SUD RC Data'!L30,'Report 4A. SUD RC Data'!L37,'Report 4A. SUD RC Data'!L44,'Report 4A. SUD RC Data'!L51,'Report 4A. SUD RC Data'!L58,'Report 4A. SUD RC Data'!L65,'Report 4A. SUD RC Data'!L72,'Report 4A. SUD RC Data'!L79,'Report 4A. SUD RC Data'!L86,'Report 4A. SUD RC Data'!L93)</f>
        <v>0</v>
      </c>
      <c r="E18" s="60">
        <f>SUM('Report 4A. SUD RC Data'!M16,'Report 4A. SUD RC Data'!M23,'Report 4A. SUD RC Data'!M30,'Report 4A. SUD RC Data'!M37,'Report 4A. SUD RC Data'!M44,'Report 4A. SUD RC Data'!M51,'Report 4A. SUD RC Data'!M58,'Report 4A. SUD RC Data'!M65,'Report 4A. SUD RC Data'!M72,'Report 4A. SUD RC Data'!M79,'Report 4A. SUD RC Data'!M86,'Report 4A. SUD RC Data'!M93)</f>
        <v>0</v>
      </c>
      <c r="F18" s="60">
        <f>SUM('Report 4A. SUD RC Data'!N16,'Report 4A. SUD RC Data'!N23,'Report 4A. SUD RC Data'!N30,'Report 4A. SUD RC Data'!N37,'Report 4A. SUD RC Data'!N44,'Report 4A. SUD RC Data'!N51,'Report 4A. SUD RC Data'!N58,'Report 4A. SUD RC Data'!N65,'Report 4A. SUD RC Data'!N72,'Report 4A. SUD RC Data'!N79,'Report 4A. SUD RC Data'!N86,'Report 4A. SUD RC Data'!N93)</f>
        <v>6695</v>
      </c>
      <c r="G18" s="60">
        <f>SUM('Report 4A. SUD RC Data'!O16,'Report 4A. SUD RC Data'!O23,'Report 4A. SUD RC Data'!O30,'Report 4A. SUD RC Data'!O37,'Report 4A. SUD RC Data'!O44,'Report 4A. SUD RC Data'!O51,'Report 4A. SUD RC Data'!O58,'Report 4A. SUD RC Data'!O65,'Report 4A. SUD RC Data'!O72,'Report 4A. SUD RC Data'!O79,'Report 4A. SUD RC Data'!O86,'Report 4A. SUD RC Data'!O93)</f>
        <v>0</v>
      </c>
      <c r="H18" s="60">
        <f>SUM('Report 4A. SUD RC Data'!P16,'Report 4A. SUD RC Data'!P23,'Report 4A. SUD RC Data'!P30,'Report 4A. SUD RC Data'!P37,'Report 4A. SUD RC Data'!P44,'Report 4A. SUD RC Data'!P51,'Report 4A. SUD RC Data'!P58,'Report 4A. SUD RC Data'!P65,'Report 4A. SUD RC Data'!P72,'Report 4A. SUD RC Data'!P79,'Report 4A. SUD RC Data'!P86,'Report 4A. SUD RC Data'!P93)</f>
        <v>768555.87999999989</v>
      </c>
      <c r="I18" s="60">
        <f t="shared" si="2"/>
        <v>775250.87999999989</v>
      </c>
      <c r="L18"/>
    </row>
    <row r="19" spans="2:14" ht="15.75" thickTop="1" x14ac:dyDescent="0.25">
      <c r="B19"/>
      <c r="C19" s="35" t="s">
        <v>29</v>
      </c>
      <c r="D19" s="61">
        <f>SUM(D16:D18)</f>
        <v>313150</v>
      </c>
      <c r="E19" s="61">
        <f t="shared" ref="E19:H19" si="3">SUM(E16:E18)</f>
        <v>7415491.5</v>
      </c>
      <c r="F19" s="61">
        <f t="shared" si="3"/>
        <v>722097.74</v>
      </c>
      <c r="G19" s="61">
        <f t="shared" si="3"/>
        <v>2189229.1599999997</v>
      </c>
      <c r="H19" s="61">
        <f t="shared" si="3"/>
        <v>2451670.0299999998</v>
      </c>
      <c r="I19" s="61">
        <f t="shared" si="2"/>
        <v>13091638.43</v>
      </c>
      <c r="L19"/>
    </row>
    <row r="20" spans="2:14" ht="15" x14ac:dyDescent="0.25">
      <c r="B20"/>
      <c r="C20"/>
      <c r="D20"/>
      <c r="E20"/>
      <c r="F20"/>
      <c r="G20"/>
      <c r="H20"/>
      <c r="I20"/>
      <c r="L20"/>
    </row>
    <row r="21" spans="2:14" ht="15" x14ac:dyDescent="0.25">
      <c r="C21" s="30"/>
      <c r="D21" s="26" t="s">
        <v>56</v>
      </c>
      <c r="E21" s="26"/>
      <c r="F21" s="26"/>
      <c r="G21" s="26"/>
      <c r="H21" s="26"/>
      <c r="I21" s="26"/>
      <c r="J21"/>
      <c r="L21"/>
    </row>
    <row r="22" spans="2:14" ht="15" x14ac:dyDescent="0.25">
      <c r="B22" s="82" t="str">
        <f>B15</f>
        <v>Total</v>
      </c>
      <c r="C22" s="64" t="s">
        <v>42</v>
      </c>
      <c r="D22" s="65" t="s">
        <v>50</v>
      </c>
      <c r="E22" s="65" t="s">
        <v>51</v>
      </c>
      <c r="F22" s="65" t="s">
        <v>52</v>
      </c>
      <c r="G22" s="64" t="s">
        <v>40</v>
      </c>
      <c r="H22" s="64" t="s">
        <v>41</v>
      </c>
      <c r="I22" s="64" t="s">
        <v>74</v>
      </c>
      <c r="J22"/>
      <c r="L22"/>
    </row>
    <row r="23" spans="2:14" ht="15" x14ac:dyDescent="0.25">
      <c r="B23"/>
      <c r="C23" s="6" t="s">
        <v>43</v>
      </c>
      <c r="D23" s="27">
        <f t="shared" ref="D23:H26" si="4">IF(D9 = 0,0,D16/D9)</f>
        <v>0</v>
      </c>
      <c r="E23" s="27">
        <f t="shared" si="4"/>
        <v>0</v>
      </c>
      <c r="F23" s="27">
        <f t="shared" si="4"/>
        <v>762.68948827292115</v>
      </c>
      <c r="G23" s="27">
        <f t="shared" si="4"/>
        <v>0</v>
      </c>
      <c r="H23" s="27">
        <f t="shared" si="4"/>
        <v>922.25432876712318</v>
      </c>
      <c r="I23" s="27">
        <f>IF(I9=0,0,SUMPRODUCT(D23:H23,D9:H9)/I9)</f>
        <v>868.08428881650366</v>
      </c>
      <c r="J23"/>
      <c r="L23"/>
    </row>
    <row r="24" spans="2:14" ht="15" x14ac:dyDescent="0.25">
      <c r="B24"/>
      <c r="C24" s="6" t="s">
        <v>44</v>
      </c>
      <c r="D24" s="27">
        <f t="shared" si="4"/>
        <v>159.85196528841246</v>
      </c>
      <c r="E24" s="27">
        <f t="shared" si="4"/>
        <v>400.79404929196846</v>
      </c>
      <c r="F24" s="27">
        <f t="shared" si="4"/>
        <v>0</v>
      </c>
      <c r="G24" s="27">
        <f t="shared" si="4"/>
        <v>351.00675966009294</v>
      </c>
      <c r="H24" s="27">
        <f t="shared" si="4"/>
        <v>0</v>
      </c>
      <c r="I24" s="27">
        <f>IF(I10=0,0,SUMPRODUCT(D24:H24,D10:H10)/I10)</f>
        <v>371.48365645366692</v>
      </c>
      <c r="J24"/>
      <c r="L24"/>
    </row>
    <row r="25" spans="2:14" ht="15.75" thickBot="1" x14ac:dyDescent="0.3">
      <c r="B25"/>
      <c r="C25" s="8" t="s">
        <v>45</v>
      </c>
      <c r="D25" s="41">
        <f t="shared" si="4"/>
        <v>0</v>
      </c>
      <c r="E25" s="41">
        <f t="shared" si="4"/>
        <v>0</v>
      </c>
      <c r="F25" s="41">
        <f t="shared" si="4"/>
        <v>669.5</v>
      </c>
      <c r="G25" s="41">
        <f t="shared" si="4"/>
        <v>0</v>
      </c>
      <c r="H25" s="41">
        <f t="shared" si="4"/>
        <v>921.52983213429241</v>
      </c>
      <c r="I25" s="41">
        <f>IF(I11=0,0,SUMPRODUCT(D25:H25,D11:H11)/I11)</f>
        <v>918.54369668246432</v>
      </c>
      <c r="J25"/>
      <c r="L25"/>
    </row>
    <row r="26" spans="2:14" ht="15.75" thickTop="1" x14ac:dyDescent="0.25">
      <c r="B26"/>
      <c r="C26" s="35" t="s">
        <v>29</v>
      </c>
      <c r="D26" s="40">
        <f t="shared" si="4"/>
        <v>159.85196528841246</v>
      </c>
      <c r="E26" s="40">
        <f t="shared" si="4"/>
        <v>400.79404929196846</v>
      </c>
      <c r="F26" s="40">
        <f t="shared" si="4"/>
        <v>761.70647679324895</v>
      </c>
      <c r="G26" s="40">
        <f t="shared" si="4"/>
        <v>351.00675966009294</v>
      </c>
      <c r="H26" s="40">
        <f t="shared" si="4"/>
        <v>922.0270891312523</v>
      </c>
      <c r="I26" s="40">
        <f>IF(I12=0,0,SUMPRODUCT(D26:H26,D12:H12)/I12)</f>
        <v>431.9959884507507</v>
      </c>
      <c r="J26"/>
      <c r="L26"/>
    </row>
    <row r="27" spans="2:14" ht="15" x14ac:dyDescent="0.25">
      <c r="B27"/>
      <c r="C27"/>
      <c r="D27"/>
      <c r="E27"/>
      <c r="F27"/>
      <c r="G27"/>
      <c r="H27"/>
      <c r="I27"/>
      <c r="L27"/>
    </row>
    <row r="28" spans="2:14" ht="15" x14ac:dyDescent="0.25">
      <c r="B28"/>
      <c r="C28"/>
      <c r="D28"/>
      <c r="E28"/>
      <c r="F28"/>
      <c r="G28"/>
      <c r="H28"/>
      <c r="I28"/>
      <c r="L28"/>
    </row>
    <row r="29" spans="2:14" ht="15" x14ac:dyDescent="0.25">
      <c r="B29" s="55" t="s">
        <v>99</v>
      </c>
      <c r="C29"/>
      <c r="D29"/>
      <c r="E29"/>
      <c r="F29"/>
      <c r="G29"/>
      <c r="H29"/>
      <c r="I29"/>
      <c r="L29"/>
    </row>
    <row r="30" spans="2:14" ht="15" x14ac:dyDescent="0.25">
      <c r="B30"/>
      <c r="C30"/>
      <c r="D30"/>
      <c r="E30"/>
      <c r="F30"/>
      <c r="G30"/>
      <c r="H30"/>
      <c r="I30"/>
      <c r="L30"/>
    </row>
    <row r="31" spans="2:14" ht="15" x14ac:dyDescent="0.25">
      <c r="C31" s="30"/>
      <c r="D31" s="26" t="s">
        <v>57</v>
      </c>
      <c r="E31" s="26"/>
      <c r="F31" s="26"/>
      <c r="G31" s="26"/>
      <c r="H31" s="26"/>
      <c r="I31"/>
      <c r="L31"/>
    </row>
    <row r="32" spans="2:14" ht="15" x14ac:dyDescent="0.25">
      <c r="C32" s="64" t="s">
        <v>58</v>
      </c>
      <c r="D32" s="65" t="s">
        <v>50</v>
      </c>
      <c r="E32" s="65" t="s">
        <v>51</v>
      </c>
      <c r="F32" s="65" t="s">
        <v>52</v>
      </c>
      <c r="G32" s="64" t="s">
        <v>40</v>
      </c>
      <c r="H32" s="64" t="s">
        <v>41</v>
      </c>
      <c r="I32"/>
      <c r="L32"/>
      <c r="M32"/>
      <c r="N32"/>
    </row>
    <row r="33" spans="2:18" ht="15" x14ac:dyDescent="0.25">
      <c r="C33" s="6" t="s">
        <v>59</v>
      </c>
      <c r="D33" s="196">
        <v>190</v>
      </c>
      <c r="E33" s="196">
        <v>425</v>
      </c>
      <c r="F33" s="196">
        <v>650</v>
      </c>
      <c r="G33" s="196">
        <v>340</v>
      </c>
      <c r="H33" s="196">
        <v>960.62</v>
      </c>
      <c r="I33"/>
      <c r="L33"/>
      <c r="M33"/>
      <c r="N33"/>
    </row>
    <row r="34" spans="2:18" ht="15" x14ac:dyDescent="0.25">
      <c r="I34"/>
      <c r="L34"/>
      <c r="M34"/>
      <c r="N34"/>
    </row>
    <row r="35" spans="2:18" ht="15" x14ac:dyDescent="0.25">
      <c r="C35" s="42" t="s">
        <v>60</v>
      </c>
      <c r="D35" s="42"/>
      <c r="E35" s="42"/>
      <c r="F35"/>
      <c r="I35"/>
    </row>
    <row r="36" spans="2:18" ht="21.4" customHeight="1" x14ac:dyDescent="0.25">
      <c r="C36" s="66" t="s">
        <v>61</v>
      </c>
      <c r="D36" s="66" t="s">
        <v>48</v>
      </c>
      <c r="E36" s="81" t="s">
        <v>81</v>
      </c>
      <c r="F36"/>
      <c r="I36"/>
    </row>
    <row r="37" spans="2:18" ht="15" x14ac:dyDescent="0.25">
      <c r="C37" s="62">
        <f>IF(I12=0,0,(D33*D12+E33*E12+F33*F12+G33*G12+H33*H12)/I12)</f>
        <v>446.34973040752351</v>
      </c>
      <c r="D37" s="7">
        <f>I26</f>
        <v>431.9959884507507</v>
      </c>
      <c r="E37" s="7">
        <f>MIN(C37*1.05,D37)</f>
        <v>431.9959884507507</v>
      </c>
      <c r="F37"/>
    </row>
    <row r="39" spans="2:18" ht="15" x14ac:dyDescent="0.25">
      <c r="B39" s="76" t="s">
        <v>53</v>
      </c>
      <c r="C39" s="76"/>
      <c r="D39" s="76"/>
      <c r="E39" s="76"/>
      <c r="F39" s="76"/>
      <c r="G39"/>
      <c r="H39"/>
    </row>
    <row r="40" spans="2:18" ht="15" x14ac:dyDescent="0.25">
      <c r="B40"/>
      <c r="C40"/>
      <c r="D40"/>
      <c r="E40"/>
      <c r="F40"/>
      <c r="G40"/>
      <c r="H40"/>
    </row>
    <row r="41" spans="2:18" ht="15" x14ac:dyDescent="0.25">
      <c r="B41" s="83" t="s">
        <v>54</v>
      </c>
      <c r="C41" s="83"/>
      <c r="D41" s="83"/>
      <c r="E41" s="83"/>
      <c r="F41" s="83"/>
      <c r="G41"/>
      <c r="H41"/>
    </row>
    <row r="42" spans="2:18" ht="32.65" customHeight="1" x14ac:dyDescent="0.25">
      <c r="B42" s="71" t="s">
        <v>3</v>
      </c>
      <c r="C42" s="72" t="s">
        <v>73</v>
      </c>
      <c r="D42" s="71" t="s">
        <v>44</v>
      </c>
      <c r="E42" s="71" t="s">
        <v>55</v>
      </c>
      <c r="F42" s="71" t="s">
        <v>45</v>
      </c>
      <c r="G42"/>
      <c r="H42"/>
      <c r="L42"/>
      <c r="M42"/>
      <c r="N42"/>
      <c r="O42"/>
      <c r="P42"/>
      <c r="Q42"/>
      <c r="R42"/>
    </row>
    <row r="43" spans="2:18" ht="15" x14ac:dyDescent="0.25">
      <c r="B43" s="75">
        <f>'Report 1. MLR Template'!K16</f>
        <v>3010219</v>
      </c>
      <c r="C43" s="232">
        <v>0.47</v>
      </c>
      <c r="D43" s="232">
        <v>6.11</v>
      </c>
      <c r="E43" s="197">
        <v>7.4548685903998546E-2</v>
      </c>
      <c r="F43" s="232">
        <v>0.84</v>
      </c>
      <c r="G43" s="229" t="s">
        <v>285</v>
      </c>
      <c r="H43"/>
      <c r="L43"/>
      <c r="M43"/>
      <c r="N43"/>
      <c r="O43"/>
      <c r="P43"/>
      <c r="Q43"/>
      <c r="R43"/>
    </row>
    <row r="44" spans="2:18" ht="15" x14ac:dyDescent="0.25">
      <c r="L44"/>
      <c r="M44"/>
      <c r="N44"/>
      <c r="O44"/>
      <c r="P44"/>
      <c r="Q44"/>
      <c r="R44"/>
    </row>
    <row r="45" spans="2:18" ht="15" x14ac:dyDescent="0.25">
      <c r="L45"/>
      <c r="M45"/>
      <c r="N45"/>
      <c r="O45"/>
      <c r="P45"/>
      <c r="Q45"/>
      <c r="R45"/>
    </row>
    <row r="46" spans="2:18" ht="15" x14ac:dyDescent="0.25">
      <c r="B46" s="44" t="s">
        <v>80</v>
      </c>
      <c r="C46" s="45"/>
      <c r="D46" s="46"/>
      <c r="L46"/>
      <c r="M46"/>
      <c r="N46"/>
      <c r="O46"/>
      <c r="P46"/>
      <c r="Q46"/>
      <c r="R46"/>
    </row>
    <row r="47" spans="2:18" ht="15" x14ac:dyDescent="0.25">
      <c r="B47" s="47"/>
      <c r="L47"/>
      <c r="M47"/>
      <c r="N47"/>
      <c r="O47"/>
      <c r="P47"/>
      <c r="Q47"/>
      <c r="R47"/>
    </row>
    <row r="48" spans="2:18" ht="15" x14ac:dyDescent="0.25">
      <c r="B48" s="48" t="s">
        <v>63</v>
      </c>
      <c r="D48" s="49">
        <v>12</v>
      </c>
      <c r="L48"/>
      <c r="M48"/>
      <c r="N48"/>
      <c r="O48"/>
      <c r="P48"/>
      <c r="Q48"/>
      <c r="R48"/>
    </row>
    <row r="49" spans="2:18" ht="15" x14ac:dyDescent="0.25">
      <c r="B49" s="73" t="s">
        <v>5</v>
      </c>
      <c r="C49" s="74" t="s">
        <v>64</v>
      </c>
      <c r="D49" s="74"/>
      <c r="R49"/>
    </row>
    <row r="50" spans="2:18" ht="15" x14ac:dyDescent="0.25">
      <c r="B50" s="6" t="s">
        <v>6</v>
      </c>
      <c r="C50" s="50" t="s">
        <v>82</v>
      </c>
      <c r="D50" s="51">
        <f>B43*SUM(C43:F43)</f>
        <v>22560232.850733247</v>
      </c>
      <c r="E50" s="54"/>
      <c r="I50" s="233" t="s">
        <v>284</v>
      </c>
      <c r="J50" s="234">
        <f>('Report 1. MLR Template'!K21*0.19733)-(I19-12600268.03)</f>
        <v>105510.35498449963</v>
      </c>
      <c r="K50" s="233"/>
      <c r="L50" s="233" t="s">
        <v>293</v>
      </c>
      <c r="M50" s="233"/>
      <c r="R50"/>
    </row>
    <row r="51" spans="2:18" ht="15" x14ac:dyDescent="0.25">
      <c r="B51" s="6" t="s">
        <v>7</v>
      </c>
      <c r="C51" s="50" t="s">
        <v>83</v>
      </c>
      <c r="D51" s="231">
        <f>(E37*I12+'Report 4A. SUD RC Data'!C10)+J50+J51+J52+J53</f>
        <v>14540834.394984499</v>
      </c>
      <c r="E51" s="229" t="s">
        <v>285</v>
      </c>
      <c r="I51" s="233" t="s">
        <v>286</v>
      </c>
      <c r="J51" s="234">
        <v>514380</v>
      </c>
      <c r="K51" s="233"/>
      <c r="L51" s="233" t="s">
        <v>289</v>
      </c>
      <c r="M51" s="233"/>
    </row>
    <row r="52" spans="2:18" x14ac:dyDescent="0.2">
      <c r="B52" s="6" t="s">
        <v>8</v>
      </c>
      <c r="C52" s="50" t="s">
        <v>76</v>
      </c>
      <c r="D52" s="51">
        <f>D50-D51</f>
        <v>8019398.455748748</v>
      </c>
      <c r="I52" s="233" t="s">
        <v>287</v>
      </c>
      <c r="J52" s="234">
        <v>160200</v>
      </c>
      <c r="K52" s="233"/>
      <c r="L52" s="233" t="s">
        <v>291</v>
      </c>
      <c r="M52" s="233"/>
    </row>
    <row r="53" spans="2:18" ht="13.5" thickBot="1" x14ac:dyDescent="0.25">
      <c r="B53" s="8" t="s">
        <v>9</v>
      </c>
      <c r="C53" s="90" t="s">
        <v>77</v>
      </c>
      <c r="D53" s="52">
        <f>IF(D50 = 0,0,D52/D50)</f>
        <v>0.35546612079795548</v>
      </c>
      <c r="I53" s="233" t="s">
        <v>288</v>
      </c>
      <c r="J53" s="234">
        <v>34750</v>
      </c>
      <c r="K53" s="233"/>
      <c r="L53" s="233" t="s">
        <v>290</v>
      </c>
      <c r="M53" s="233"/>
    </row>
    <row r="54" spans="2:18" ht="26.25" thickTop="1" x14ac:dyDescent="0.2">
      <c r="B54" s="78" t="s">
        <v>10</v>
      </c>
      <c r="C54" s="84" t="s">
        <v>75</v>
      </c>
      <c r="D54" s="79">
        <f>IF(D50 = 0,0,D51/D50)</f>
        <v>0.64453387920204452</v>
      </c>
    </row>
    <row r="55" spans="2:18" ht="15" x14ac:dyDescent="0.2">
      <c r="B55" s="91" t="s">
        <v>84</v>
      </c>
      <c r="C55" s="85" t="s">
        <v>85</v>
      </c>
      <c r="D55" s="27">
        <f>IF(D54&lt;0.95,-(0.95*D50-D51),IF(D54&gt;1.05,-(1.05*D50-D51),0))</f>
        <v>-6891386.8132120855</v>
      </c>
      <c r="E55" s="77"/>
      <c r="F55" s="77"/>
    </row>
    <row r="56" spans="2:18" x14ac:dyDescent="0.2">
      <c r="B56" s="6" t="s">
        <v>86</v>
      </c>
      <c r="C56" s="85" t="s">
        <v>87</v>
      </c>
      <c r="D56" s="27">
        <f>IF(AND(D54&gt;0.99,D54&lt;1.01),0,MIN(MAX(D54,0.95),1.05)-IF(D54&lt;0.99,0.99,1.01))*0.5*D50</f>
        <v>-451204.65701466531</v>
      </c>
      <c r="F56" s="77"/>
      <c r="J56" s="230"/>
    </row>
    <row r="57" spans="2:18" x14ac:dyDescent="0.2">
      <c r="B57" s="6" t="s">
        <v>88</v>
      </c>
      <c r="C57" s="85" t="s">
        <v>89</v>
      </c>
      <c r="D57" s="27">
        <v>0</v>
      </c>
    </row>
    <row r="58" spans="2:18" ht="26.25" thickBot="1" x14ac:dyDescent="0.25">
      <c r="B58" s="80" t="s">
        <v>11</v>
      </c>
      <c r="C58" s="86" t="s">
        <v>78</v>
      </c>
      <c r="D58" s="93">
        <f>SUM(D55:D57)</f>
        <v>-7342591.4702267507</v>
      </c>
    </row>
    <row r="59" spans="2:18" ht="13.5" thickTop="1" x14ac:dyDescent="0.2">
      <c r="B59" s="92" t="s">
        <v>90</v>
      </c>
    </row>
    <row r="60" spans="2:18" ht="15" x14ac:dyDescent="0.25">
      <c r="B60"/>
      <c r="C60"/>
      <c r="D60"/>
      <c r="E60"/>
      <c r="F60"/>
      <c r="G60"/>
      <c r="H60"/>
    </row>
    <row r="61" spans="2:18" ht="15" x14ac:dyDescent="0.25">
      <c r="B61"/>
      <c r="C61"/>
      <c r="D61"/>
      <c r="E61"/>
      <c r="F61"/>
      <c r="G61"/>
      <c r="H61"/>
    </row>
    <row r="62" spans="2:18" ht="15" x14ac:dyDescent="0.25">
      <c r="B62"/>
      <c r="C62"/>
      <c r="D62"/>
      <c r="E62"/>
      <c r="F62"/>
      <c r="G62"/>
      <c r="H62"/>
    </row>
    <row r="63" spans="2:18" ht="15" x14ac:dyDescent="0.25">
      <c r="B63"/>
      <c r="C63"/>
      <c r="D63"/>
      <c r="E63"/>
      <c r="F63"/>
      <c r="G63"/>
      <c r="H63"/>
    </row>
    <row r="64" spans="2:18" ht="15" x14ac:dyDescent="0.25">
      <c r="B64"/>
      <c r="C64"/>
      <c r="D64"/>
      <c r="E64"/>
      <c r="F64"/>
      <c r="G64"/>
      <c r="H64"/>
    </row>
  </sheetData>
  <printOptions horizontalCentered="1"/>
  <pageMargins left="0.7" right="0.7" top="0.75" bottom="0.75" header="0.3" footer="0.3"/>
  <pageSetup fitToWidth="3" orientation="landscape" r:id="rId1"/>
  <headerFooter>
    <oddHeader>&amp;LCO HCPF - BH&amp;RDraft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7"/>
  <sheetViews>
    <sheetView showGridLines="0" workbookViewId="0"/>
  </sheetViews>
  <sheetFormatPr defaultColWidth="8.7109375" defaultRowHeight="15" customHeight="1" x14ac:dyDescent="0.25"/>
  <cols>
    <col min="1" max="1" width="8.7109375" customWidth="1"/>
    <col min="2" max="10" width="10.7109375" customWidth="1"/>
  </cols>
  <sheetData>
    <row r="2" spans="2:3" ht="15" customHeight="1" x14ac:dyDescent="0.25">
      <c r="B2" s="9" t="s">
        <v>69</v>
      </c>
      <c r="C2" s="10" t="str">
        <f>Overview!$C$11</f>
        <v>Rocky Mountain Health Plans</v>
      </c>
    </row>
    <row r="3" spans="2:3" ht="15" customHeight="1" x14ac:dyDescent="0.25">
      <c r="B3" s="9" t="s">
        <v>71</v>
      </c>
      <c r="C3" s="10" t="str">
        <f>Overview!C12</f>
        <v>Region 01</v>
      </c>
    </row>
    <row r="4" spans="2:3" ht="15" customHeight="1" x14ac:dyDescent="0.25">
      <c r="B4" s="9" t="s">
        <v>20</v>
      </c>
      <c r="C4" s="11" t="s">
        <v>112</v>
      </c>
    </row>
    <row r="5" spans="2:3" ht="15" customHeight="1" x14ac:dyDescent="0.25">
      <c r="B5" s="9" t="s">
        <v>21</v>
      </c>
      <c r="C5" s="10" t="str">
        <f>Overview!$C$13</f>
        <v>July 1, 2022 - June 30, 2023</v>
      </c>
    </row>
    <row r="7" spans="2:3" ht="15" customHeight="1" x14ac:dyDescent="0.25">
      <c r="B7" s="5" t="s">
        <v>111</v>
      </c>
    </row>
  </sheetData>
  <pageMargins left="0.7" right="0.7" top="0.75" bottom="0.75" header="0.3" footer="0.3"/>
  <pageSetup fitToHeight="0" orientation="landscape" r:id="rId1"/>
  <headerFooter>
    <oddHeader>&amp;LCO HCPF - BH&amp;RDraft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D6E-5BD2-4C28-93C4-E3CC9B3A0108}">
  <sheetPr>
    <pageSetUpPr autoPageBreaks="0"/>
  </sheetPr>
  <dimension ref="A2:I30"/>
  <sheetViews>
    <sheetView showGridLines="0" zoomScaleNormal="100" workbookViewId="0"/>
  </sheetViews>
  <sheetFormatPr defaultColWidth="8.7109375" defaultRowHeight="12.75" x14ac:dyDescent="0.2"/>
  <cols>
    <col min="1" max="1" width="4.5703125" style="5" customWidth="1"/>
    <col min="2" max="2" width="38.42578125" style="5" customWidth="1"/>
    <col min="3" max="3" width="40.42578125" style="5" customWidth="1"/>
    <col min="4" max="4" width="16.7109375" style="5" bestFit="1" customWidth="1"/>
    <col min="5" max="5" width="22.28515625" style="5" customWidth="1"/>
    <col min="6" max="16384" width="8.7109375" style="5"/>
  </cols>
  <sheetData>
    <row r="2" spans="1:9" ht="20.85" customHeight="1" x14ac:dyDescent="0.2">
      <c r="A2" s="48"/>
      <c r="B2" s="99" t="s">
        <v>101</v>
      </c>
      <c r="C2" s="100"/>
    </row>
    <row r="3" spans="1:9" x14ac:dyDescent="0.2">
      <c r="B3" s="101" t="s">
        <v>102</v>
      </c>
      <c r="C3" s="101" t="s">
        <v>103</v>
      </c>
    </row>
    <row r="4" spans="1:9" x14ac:dyDescent="0.2">
      <c r="A4" s="102"/>
      <c r="B4" s="103" t="s">
        <v>104</v>
      </c>
      <c r="C4" s="103" t="s">
        <v>105</v>
      </c>
      <c r="D4" s="104"/>
    </row>
    <row r="5" spans="1:9" x14ac:dyDescent="0.2">
      <c r="B5" s="105">
        <v>5400</v>
      </c>
      <c r="C5" s="106">
        <v>8.4000000000000005E-2</v>
      </c>
      <c r="D5" s="104"/>
    </row>
    <row r="6" spans="1:9" x14ac:dyDescent="0.2">
      <c r="B6" s="105">
        <v>12000</v>
      </c>
      <c r="C6" s="106">
        <v>5.7000000000000002E-2</v>
      </c>
      <c r="D6" s="104"/>
    </row>
    <row r="7" spans="1:9" x14ac:dyDescent="0.2">
      <c r="B7" s="105">
        <v>24000</v>
      </c>
      <c r="C7" s="106">
        <v>0.04</v>
      </c>
      <c r="D7" s="104"/>
      <c r="H7" s="104"/>
    </row>
    <row r="8" spans="1:9" x14ac:dyDescent="0.2">
      <c r="B8" s="105">
        <v>48000</v>
      </c>
      <c r="C8" s="106">
        <v>2.9000000000000001E-2</v>
      </c>
      <c r="D8" s="104"/>
      <c r="H8" s="107"/>
      <c r="I8" s="108"/>
    </row>
    <row r="9" spans="1:9" x14ac:dyDescent="0.2">
      <c r="B9" s="105">
        <v>96000</v>
      </c>
      <c r="C9" s="106">
        <v>0.02</v>
      </c>
      <c r="D9" s="104"/>
      <c r="E9" s="107"/>
      <c r="F9" s="108"/>
      <c r="H9" s="109"/>
    </row>
    <row r="10" spans="1:9" x14ac:dyDescent="0.2">
      <c r="B10" s="105">
        <v>192000</v>
      </c>
      <c r="C10" s="106">
        <v>1.4999999999999999E-2</v>
      </c>
      <c r="D10" s="104"/>
    </row>
    <row r="11" spans="1:9" x14ac:dyDescent="0.2">
      <c r="B11" s="105">
        <v>380000</v>
      </c>
      <c r="C11" s="106">
        <v>0.01</v>
      </c>
      <c r="D11" s="104"/>
    </row>
    <row r="12" spans="1:9" x14ac:dyDescent="0.2">
      <c r="B12" s="103" t="s">
        <v>106</v>
      </c>
      <c r="C12" s="103" t="s">
        <v>107</v>
      </c>
    </row>
    <row r="13" spans="1:9" x14ac:dyDescent="0.2">
      <c r="B13" s="53" t="s">
        <v>108</v>
      </c>
    </row>
    <row r="15" spans="1:9" ht="13.5" thickBot="1" x14ac:dyDescent="0.25"/>
    <row r="16" spans="1:9" x14ac:dyDescent="0.2">
      <c r="B16" s="110" t="s">
        <v>109</v>
      </c>
      <c r="C16" s="111" t="s">
        <v>110</v>
      </c>
    </row>
    <row r="17" spans="2:7" ht="13.5" thickBot="1" x14ac:dyDescent="0.25">
      <c r="B17" s="203">
        <f>'Report 1. MLR Template'!K16</f>
        <v>3010219</v>
      </c>
      <c r="C17" s="195">
        <f ca="1">IF($B$17&lt;B5,"Not Credible",IF(B17&gt;$B$11,0,ROUND(IF(B17=B11,C11,(OFFSET(B3,MATCH(VLOOKUP(B17,$B$4:$C$12,1,1),$B$4:$B$12,0)+1,0)-$B$17)/(OFFSET(B3,MATCH(VLOOKUP(B17,$B$4:$C$12,1,1),$B$4:$B$12,0)+1,0)-VLOOKUP(B17,$B$4:$C$12,1,1))*(VLOOKUP(B17,$B$4:$C$12,2,1)-OFFSET(B3,MATCH(VLOOKUP(B17,$B$4:$C$12,1,1),$B$4:$B$12,0)+1,1))+OFFSET(B3,MATCH(VLOOKUP(B17,$B$4:$C$12,1,1),$B$4:$B$12,0)+1,1)),3)))</f>
        <v>0</v>
      </c>
    </row>
    <row r="18" spans="2:7" x14ac:dyDescent="0.2">
      <c r="C18" s="112"/>
    </row>
    <row r="19" spans="2:7" x14ac:dyDescent="0.2">
      <c r="C19" s="112"/>
    </row>
    <row r="21" spans="2:7" x14ac:dyDescent="0.2">
      <c r="C21" s="104"/>
      <c r="D21" s="108"/>
    </row>
    <row r="22" spans="2:7" x14ac:dyDescent="0.2">
      <c r="B22" s="108"/>
      <c r="C22" s="108"/>
      <c r="F22" s="113"/>
      <c r="G22" s="114"/>
    </row>
    <row r="23" spans="2:7" x14ac:dyDescent="0.2">
      <c r="B23" s="115"/>
      <c r="C23" s="102"/>
      <c r="G23" s="108"/>
    </row>
    <row r="24" spans="2:7" x14ac:dyDescent="0.2">
      <c r="B24" s="104"/>
      <c r="C24" s="104"/>
    </row>
    <row r="25" spans="2:7" x14ac:dyDescent="0.2">
      <c r="B25" s="102"/>
    </row>
    <row r="26" spans="2:7" x14ac:dyDescent="0.2">
      <c r="B26" s="102"/>
      <c r="C26" s="109"/>
    </row>
    <row r="28" spans="2:7" x14ac:dyDescent="0.2">
      <c r="C28" s="108"/>
    </row>
    <row r="29" spans="2:7" x14ac:dyDescent="0.2">
      <c r="C29" s="108"/>
    </row>
    <row r="30" spans="2:7" x14ac:dyDescent="0.2">
      <c r="C30" s="109"/>
    </row>
  </sheetData>
  <pageMargins left="0.45" right="0.45" top="0.75" bottom="0.75" header="0.3" footer="0.3"/>
  <pageSetup scale="72" orientation="landscape" r:id="rId1"/>
  <headerFooter>
    <oddHeader>&amp;LCO HCPF - BH&amp;RDraft and Confidential</oddHeader>
    <oddFooter>&amp;L&amp;F | &amp;A&amp;R&amp;G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53F6-5A1A-4315-8983-3EADA60A57CF}">
  <sheetPr>
    <pageSetUpPr autoPageBreaks="0" fitToPage="1"/>
  </sheetPr>
  <dimension ref="B1:N34"/>
  <sheetViews>
    <sheetView showGridLines="0" zoomScaleNormal="100" workbookViewId="0">
      <selection activeCell="B4" sqref="B4"/>
    </sheetView>
  </sheetViews>
  <sheetFormatPr defaultColWidth="8.7109375" defaultRowHeight="15" customHeight="1" x14ac:dyDescent="0.2"/>
  <cols>
    <col min="1" max="1" width="1.5703125" style="116" customWidth="1"/>
    <col min="2" max="16384" width="8.7109375" style="116"/>
  </cols>
  <sheetData>
    <row r="1" spans="2:14" ht="13.15" customHeight="1" x14ac:dyDescent="0.2"/>
    <row r="2" spans="2:14" ht="15" customHeight="1" x14ac:dyDescent="0.2">
      <c r="B2" s="10" t="s">
        <v>31</v>
      </c>
    </row>
    <row r="4" spans="2:14" ht="15" customHeight="1" x14ac:dyDescent="0.2">
      <c r="B4" s="210" t="s">
        <v>294</v>
      </c>
      <c r="C4" s="211"/>
      <c r="D4" s="211"/>
      <c r="E4" s="211"/>
      <c r="F4" s="211"/>
      <c r="G4" s="211"/>
      <c r="H4" s="211"/>
      <c r="I4" s="211"/>
      <c r="J4" s="211"/>
      <c r="K4" s="211"/>
      <c r="L4" s="211"/>
      <c r="M4" s="211"/>
      <c r="N4" s="212"/>
    </row>
    <row r="5" spans="2:14" ht="15" customHeight="1" x14ac:dyDescent="0.2">
      <c r="B5" s="213" t="s">
        <v>295</v>
      </c>
      <c r="C5" s="214"/>
      <c r="D5" s="214"/>
      <c r="E5" s="214"/>
      <c r="F5" s="214"/>
      <c r="G5" s="214"/>
      <c r="H5" s="214"/>
      <c r="I5" s="214"/>
      <c r="J5" s="214"/>
      <c r="K5" s="214"/>
      <c r="L5" s="214"/>
      <c r="M5" s="214"/>
      <c r="N5" s="215"/>
    </row>
    <row r="6" spans="2:14" ht="15" customHeight="1" x14ac:dyDescent="0.2">
      <c r="B6" s="213" t="s">
        <v>296</v>
      </c>
      <c r="C6" s="214"/>
      <c r="D6" s="214"/>
      <c r="E6" s="214"/>
      <c r="F6" s="214"/>
      <c r="G6" s="214"/>
      <c r="H6" s="214"/>
      <c r="I6" s="214"/>
      <c r="J6" s="214"/>
      <c r="K6" s="214"/>
      <c r="L6" s="214"/>
      <c r="M6" s="214"/>
      <c r="N6" s="215"/>
    </row>
    <row r="7" spans="2:14" ht="15" customHeight="1" x14ac:dyDescent="0.2">
      <c r="B7" s="213" t="s">
        <v>297</v>
      </c>
      <c r="C7" s="214"/>
      <c r="D7" s="214"/>
      <c r="E7" s="214"/>
      <c r="F7" s="214"/>
      <c r="G7" s="214"/>
      <c r="H7" s="214"/>
      <c r="I7" s="214"/>
      <c r="J7" s="214"/>
      <c r="K7" s="214"/>
      <c r="L7" s="214"/>
      <c r="M7" s="214"/>
      <c r="N7" s="215"/>
    </row>
    <row r="8" spans="2:14" ht="15" customHeight="1" x14ac:dyDescent="0.2">
      <c r="B8" s="213"/>
      <c r="C8" s="214"/>
      <c r="D8" s="214"/>
      <c r="E8" s="214"/>
      <c r="F8" s="214"/>
      <c r="G8" s="214"/>
      <c r="H8" s="214"/>
      <c r="I8" s="214"/>
      <c r="J8" s="214"/>
      <c r="K8" s="214"/>
      <c r="L8" s="214"/>
      <c r="M8" s="214"/>
      <c r="N8" s="215"/>
    </row>
    <row r="9" spans="2:14" ht="15" customHeight="1" x14ac:dyDescent="0.2">
      <c r="B9" s="213"/>
      <c r="C9" s="214"/>
      <c r="D9" s="214"/>
      <c r="E9" s="214"/>
      <c r="F9" s="214"/>
      <c r="G9" s="214"/>
      <c r="H9" s="214"/>
      <c r="I9" s="214"/>
      <c r="J9" s="214"/>
      <c r="K9" s="214"/>
      <c r="L9" s="214"/>
      <c r="M9" s="214"/>
      <c r="N9" s="215"/>
    </row>
    <row r="10" spans="2:14" ht="15" customHeight="1" x14ac:dyDescent="0.2">
      <c r="B10" s="213"/>
      <c r="C10" s="214"/>
      <c r="D10" s="214"/>
      <c r="E10" s="214"/>
      <c r="F10" s="214"/>
      <c r="G10" s="214"/>
      <c r="H10" s="214"/>
      <c r="I10" s="214"/>
      <c r="J10" s="214"/>
      <c r="K10" s="214"/>
      <c r="L10" s="214"/>
      <c r="M10" s="214"/>
      <c r="N10" s="215"/>
    </row>
    <row r="11" spans="2:14" ht="15" customHeight="1" x14ac:dyDescent="0.2">
      <c r="B11" s="216"/>
      <c r="C11" s="217"/>
      <c r="D11" s="217"/>
      <c r="E11" s="217"/>
      <c r="F11" s="217"/>
      <c r="G11" s="217"/>
      <c r="H11" s="217"/>
      <c r="I11" s="217"/>
      <c r="J11" s="217"/>
      <c r="K11" s="217"/>
      <c r="L11" s="217"/>
      <c r="M11" s="217"/>
      <c r="N11" s="218"/>
    </row>
    <row r="15" spans="2:14" ht="15" customHeight="1" x14ac:dyDescent="0.2">
      <c r="B15" s="117" t="s">
        <v>33</v>
      </c>
      <c r="C15" s="117"/>
      <c r="D15" s="117"/>
      <c r="E15" s="117"/>
      <c r="F15" s="117"/>
      <c r="G15" s="117"/>
      <c r="H15" s="117"/>
      <c r="I15" s="117"/>
      <c r="J15" s="117"/>
      <c r="K15" s="117"/>
      <c r="L15" s="117"/>
      <c r="M15" s="117"/>
      <c r="N15" s="117"/>
    </row>
    <row r="16" spans="2:14" ht="15" customHeight="1" x14ac:dyDescent="0.2">
      <c r="B16" s="253" t="s">
        <v>280</v>
      </c>
      <c r="C16" s="254"/>
      <c r="D16" s="254"/>
      <c r="E16" s="254"/>
      <c r="F16" s="254"/>
      <c r="G16" s="254"/>
      <c r="H16" s="254"/>
      <c r="I16" s="254"/>
      <c r="J16" s="254"/>
      <c r="K16" s="254"/>
      <c r="L16" s="254"/>
      <c r="M16" s="254"/>
      <c r="N16" s="255"/>
    </row>
    <row r="17" spans="2:14" ht="15" customHeight="1" x14ac:dyDescent="0.2">
      <c r="B17" s="256"/>
      <c r="C17" s="257"/>
      <c r="D17" s="257"/>
      <c r="E17" s="257"/>
      <c r="F17" s="257"/>
      <c r="G17" s="257"/>
      <c r="H17" s="257"/>
      <c r="I17" s="257"/>
      <c r="J17" s="257"/>
      <c r="K17" s="257"/>
      <c r="L17" s="257"/>
      <c r="M17" s="257"/>
      <c r="N17" s="258"/>
    </row>
    <row r="18" spans="2:14" ht="15" customHeight="1" x14ac:dyDescent="0.2">
      <c r="B18" s="256"/>
      <c r="C18" s="257"/>
      <c r="D18" s="257"/>
      <c r="E18" s="257"/>
      <c r="F18" s="257"/>
      <c r="G18" s="257"/>
      <c r="H18" s="257"/>
      <c r="I18" s="257"/>
      <c r="J18" s="257"/>
      <c r="K18" s="257"/>
      <c r="L18" s="257"/>
      <c r="M18" s="257"/>
      <c r="N18" s="258"/>
    </row>
    <row r="19" spans="2:14" ht="15" customHeight="1" x14ac:dyDescent="0.2">
      <c r="B19" s="256"/>
      <c r="C19" s="257"/>
      <c r="D19" s="257"/>
      <c r="E19" s="257"/>
      <c r="F19" s="257"/>
      <c r="G19" s="257"/>
      <c r="H19" s="257"/>
      <c r="I19" s="257"/>
      <c r="J19" s="257"/>
      <c r="K19" s="257"/>
      <c r="L19" s="257"/>
      <c r="M19" s="257"/>
      <c r="N19" s="258"/>
    </row>
    <row r="20" spans="2:14" ht="15" customHeight="1" x14ac:dyDescent="0.2">
      <c r="B20" s="256"/>
      <c r="C20" s="257"/>
      <c r="D20" s="257"/>
      <c r="E20" s="257"/>
      <c r="F20" s="257"/>
      <c r="G20" s="257"/>
      <c r="H20" s="257"/>
      <c r="I20" s="257"/>
      <c r="J20" s="257"/>
      <c r="K20" s="257"/>
      <c r="L20" s="257"/>
      <c r="M20" s="257"/>
      <c r="N20" s="258"/>
    </row>
    <row r="21" spans="2:14" ht="15" customHeight="1" x14ac:dyDescent="0.2">
      <c r="B21" s="256"/>
      <c r="C21" s="257"/>
      <c r="D21" s="257"/>
      <c r="E21" s="257"/>
      <c r="F21" s="257"/>
      <c r="G21" s="257"/>
      <c r="H21" s="257"/>
      <c r="I21" s="257"/>
      <c r="J21" s="257"/>
      <c r="K21" s="257"/>
      <c r="L21" s="257"/>
      <c r="M21" s="257"/>
      <c r="N21" s="258"/>
    </row>
    <row r="22" spans="2:14" ht="15" customHeight="1" x14ac:dyDescent="0.2">
      <c r="B22" s="256"/>
      <c r="C22" s="257"/>
      <c r="D22" s="257"/>
      <c r="E22" s="257"/>
      <c r="F22" s="257"/>
      <c r="G22" s="257"/>
      <c r="H22" s="257"/>
      <c r="I22" s="257"/>
      <c r="J22" s="257"/>
      <c r="K22" s="257"/>
      <c r="L22" s="257"/>
      <c r="M22" s="257"/>
      <c r="N22" s="258"/>
    </row>
    <row r="23" spans="2:14" ht="15" customHeight="1" x14ac:dyDescent="0.2">
      <c r="B23" s="256"/>
      <c r="C23" s="257"/>
      <c r="D23" s="257"/>
      <c r="E23" s="257"/>
      <c r="F23" s="257"/>
      <c r="G23" s="257"/>
      <c r="H23" s="257"/>
      <c r="I23" s="257"/>
      <c r="J23" s="257"/>
      <c r="K23" s="257"/>
      <c r="L23" s="257"/>
      <c r="M23" s="257"/>
      <c r="N23" s="258"/>
    </row>
    <row r="24" spans="2:14" ht="15" customHeight="1" x14ac:dyDescent="0.2">
      <c r="B24" s="256"/>
      <c r="C24" s="257"/>
      <c r="D24" s="257"/>
      <c r="E24" s="257"/>
      <c r="F24" s="257"/>
      <c r="G24" s="257"/>
      <c r="H24" s="257"/>
      <c r="I24" s="257"/>
      <c r="J24" s="257"/>
      <c r="K24" s="257"/>
      <c r="L24" s="257"/>
      <c r="M24" s="257"/>
      <c r="N24" s="258"/>
    </row>
    <row r="25" spans="2:14" ht="15" customHeight="1" x14ac:dyDescent="0.2">
      <c r="B25" s="256"/>
      <c r="C25" s="257"/>
      <c r="D25" s="257"/>
      <c r="E25" s="257"/>
      <c r="F25" s="257"/>
      <c r="G25" s="257"/>
      <c r="H25" s="257"/>
      <c r="I25" s="257"/>
      <c r="J25" s="257"/>
      <c r="K25" s="257"/>
      <c r="L25" s="257"/>
      <c r="M25" s="257"/>
      <c r="N25" s="258"/>
    </row>
    <row r="26" spans="2:14" ht="15" customHeight="1" x14ac:dyDescent="0.2">
      <c r="B26" s="256"/>
      <c r="C26" s="257"/>
      <c r="D26" s="257"/>
      <c r="E26" s="257"/>
      <c r="F26" s="257"/>
      <c r="G26" s="257"/>
      <c r="H26" s="257"/>
      <c r="I26" s="257"/>
      <c r="J26" s="257"/>
      <c r="K26" s="257"/>
      <c r="L26" s="257"/>
      <c r="M26" s="257"/>
      <c r="N26" s="258"/>
    </row>
    <row r="27" spans="2:14" ht="15" customHeight="1" x14ac:dyDescent="0.2">
      <c r="B27" s="256"/>
      <c r="C27" s="257"/>
      <c r="D27" s="257"/>
      <c r="E27" s="257"/>
      <c r="F27" s="257"/>
      <c r="G27" s="257"/>
      <c r="H27" s="257"/>
      <c r="I27" s="257"/>
      <c r="J27" s="257"/>
      <c r="K27" s="257"/>
      <c r="L27" s="257"/>
      <c r="M27" s="257"/>
      <c r="N27" s="258"/>
    </row>
    <row r="28" spans="2:14" ht="15" customHeight="1" x14ac:dyDescent="0.2">
      <c r="B28" s="256"/>
      <c r="C28" s="257"/>
      <c r="D28" s="257"/>
      <c r="E28" s="257"/>
      <c r="F28" s="257"/>
      <c r="G28" s="257"/>
      <c r="H28" s="257"/>
      <c r="I28" s="257"/>
      <c r="J28" s="257"/>
      <c r="K28" s="257"/>
      <c r="L28" s="257"/>
      <c r="M28" s="257"/>
      <c r="N28" s="258"/>
    </row>
    <row r="29" spans="2:14" ht="15" customHeight="1" x14ac:dyDescent="0.2">
      <c r="B29" s="256"/>
      <c r="C29" s="257"/>
      <c r="D29" s="257"/>
      <c r="E29" s="257"/>
      <c r="F29" s="257"/>
      <c r="G29" s="257"/>
      <c r="H29" s="257"/>
      <c r="I29" s="257"/>
      <c r="J29" s="257"/>
      <c r="K29" s="257"/>
      <c r="L29" s="257"/>
      <c r="M29" s="257"/>
      <c r="N29" s="258"/>
    </row>
    <row r="30" spans="2:14" ht="15" customHeight="1" x14ac:dyDescent="0.2">
      <c r="B30" s="256"/>
      <c r="C30" s="257"/>
      <c r="D30" s="257"/>
      <c r="E30" s="257"/>
      <c r="F30" s="257"/>
      <c r="G30" s="257"/>
      <c r="H30" s="257"/>
      <c r="I30" s="257"/>
      <c r="J30" s="257"/>
      <c r="K30" s="257"/>
      <c r="L30" s="257"/>
      <c r="M30" s="257"/>
      <c r="N30" s="258"/>
    </row>
    <row r="31" spans="2:14" ht="15" customHeight="1" x14ac:dyDescent="0.2">
      <c r="B31" s="256"/>
      <c r="C31" s="257"/>
      <c r="D31" s="257"/>
      <c r="E31" s="257"/>
      <c r="F31" s="257"/>
      <c r="G31" s="257"/>
      <c r="H31" s="257"/>
      <c r="I31" s="257"/>
      <c r="J31" s="257"/>
      <c r="K31" s="257"/>
      <c r="L31" s="257"/>
      <c r="M31" s="257"/>
      <c r="N31" s="258"/>
    </row>
    <row r="32" spans="2:14" ht="15" customHeight="1" x14ac:dyDescent="0.2">
      <c r="B32" s="256"/>
      <c r="C32" s="257"/>
      <c r="D32" s="257"/>
      <c r="E32" s="257"/>
      <c r="F32" s="257"/>
      <c r="G32" s="257"/>
      <c r="H32" s="257"/>
      <c r="I32" s="257"/>
      <c r="J32" s="257"/>
      <c r="K32" s="257"/>
      <c r="L32" s="257"/>
      <c r="M32" s="257"/>
      <c r="N32" s="258"/>
    </row>
    <row r="33" spans="2:14" ht="15" customHeight="1" x14ac:dyDescent="0.2">
      <c r="B33" s="256"/>
      <c r="C33" s="257"/>
      <c r="D33" s="257"/>
      <c r="E33" s="257"/>
      <c r="F33" s="257"/>
      <c r="G33" s="257"/>
      <c r="H33" s="257"/>
      <c r="I33" s="257"/>
      <c r="J33" s="257"/>
      <c r="K33" s="257"/>
      <c r="L33" s="257"/>
      <c r="M33" s="257"/>
      <c r="N33" s="258"/>
    </row>
    <row r="34" spans="2:14" ht="15" customHeight="1" x14ac:dyDescent="0.2">
      <c r="B34" s="259"/>
      <c r="C34" s="260"/>
      <c r="D34" s="260"/>
      <c r="E34" s="260"/>
      <c r="F34" s="260"/>
      <c r="G34" s="260"/>
      <c r="H34" s="260"/>
      <c r="I34" s="260"/>
      <c r="J34" s="260"/>
      <c r="K34" s="260"/>
      <c r="L34" s="260"/>
      <c r="M34" s="260"/>
      <c r="N34" s="261"/>
    </row>
  </sheetData>
  <mergeCells count="1">
    <mergeCell ref="B16:N34"/>
  </mergeCells>
  <pageMargins left="0.5" right="0.5" top="0.5" bottom="0.5" header="0.3" footer="0.3"/>
  <pageSetup fitToHeight="0" orientation="portrait" r:id="rId1"/>
  <headerFooter>
    <oddHeader>&amp;LCO HCPF - BH&amp;RDraft and Confidential</oddHeader>
    <oddFooter>&amp;L&amp;F | &amp;A&amp;R&amp;G</oddFooter>
  </headerFooter>
  <rowBreaks count="1" manualBreakCount="1">
    <brk id="1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Report 1. MLR Template</vt:lpstr>
      <vt:lpstr>Report 2. MLR Quality Metrics</vt:lpstr>
      <vt:lpstr>Report 3. Admin Non-Claim Costs</vt:lpstr>
      <vt:lpstr>Report 4A. SUD RC Data</vt:lpstr>
      <vt:lpstr>Report 4B. SUD RC Calc</vt:lpstr>
      <vt:lpstr>Report 5. Certification</vt:lpstr>
      <vt:lpstr>Credibility Table</vt:lpstr>
      <vt:lpstr>RAE Scratch Sheet</vt:lpstr>
      <vt:lpstr>'Credibility Table'!Print_Area</vt:lpstr>
      <vt:lpstr>Overview!Print_Area</vt:lpstr>
      <vt:lpstr>'RAE Scratch Sheet'!Print_Area</vt:lpstr>
      <vt:lpstr>'Report 1. MLR Template'!Print_Area</vt:lpstr>
      <vt:lpstr>'Report 2. MLR Quality Metrics'!Print_Area</vt:lpstr>
      <vt:lpstr>'Report 3. Admin Non-Claim Costs'!Print_Area</vt:lpstr>
      <vt:lpstr>'Report 4A. SUD RC Data'!Print_Area</vt:lpstr>
      <vt:lpstr>'Report 4B. SUD RC Calc'!Print_Area</vt:lpstr>
      <vt:lpstr>'Report 3. Admin Non-Claim Costs'!Print_Titles</vt:lpstr>
      <vt:lpstr>'Report 4A. SUD RC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Melanie Maddocks</cp:lastModifiedBy>
  <cp:lastPrinted>2024-01-10T21:44:34Z</cp:lastPrinted>
  <dcterms:created xsi:type="dcterms:W3CDTF">2015-11-05T21:44:37Z</dcterms:created>
  <dcterms:modified xsi:type="dcterms:W3CDTF">2024-01-16T18:39:55Z</dcterms:modified>
</cp:coreProperties>
</file>